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смета" sheetId="6" r:id="rId6"/>
  </sheets>
  <definedNames>
    <definedName name="_xlnm.Print_Area" localSheetId="1">'Лист2'!$A$1:$CB$63</definedName>
    <definedName name="_xlnm.Print_Area" localSheetId="2">'Лист3'!$A$1:$CB$112</definedName>
    <definedName name="_xlnm.Print_Area" localSheetId="3">'Лист4'!$A$1:$CB$110</definedName>
    <definedName name="_xlnm.Print_Area" localSheetId="4">'Лист5'!$A$1:$CA$70</definedName>
    <definedName name="_xlnm.Print_Area" localSheetId="5">'смета'!$A$1:$F$188</definedName>
  </definedNames>
  <calcPr fullCalcOnLoad="1"/>
</workbook>
</file>

<file path=xl/sharedStrings.xml><?xml version="1.0" encoding="utf-8"?>
<sst xmlns="http://schemas.openxmlformats.org/spreadsheetml/2006/main" count="749" uniqueCount="442">
  <si>
    <t>Приложение № 2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</si>
  <si>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</si>
  <si>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</si>
  <si>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</si>
  <si>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</si>
  <si>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</t>
  </si>
  <si>
    <t>п/п</t>
  </si>
  <si>
    <t>Среднемесячный размер оплаты труда на одного работника, руб.</t>
  </si>
  <si>
    <t>всего</t>
  </si>
  <si>
    <t>в том числе: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</si>
  <si>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</si>
  <si>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</si>
  <si>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</si>
  <si>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</si>
  <si>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</si>
  <si>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выплаты на одного</t>
  </si>
  <si>
    <t>работника в день,</t>
  </si>
  <si>
    <t>руб.</t>
  </si>
  <si>
    <t>Количество</t>
  </si>
  <si>
    <t>работников,</t>
  </si>
  <si>
    <t>чел.</t>
  </si>
  <si>
    <t>дней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</si>
  <si>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</si>
  <si>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</si>
  <si>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</si>
  <si>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</si>
  <si>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</si>
  <si>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</si>
  <si>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</si>
  <si>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</si>
  <si>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</si>
  <si>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</si>
  <si>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</si>
  <si>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</si>
  <si>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</si>
  <si>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</si>
  <si>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</si>
  <si>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Сумма взноса,</t>
  </si>
  <si>
    <t>Размер базы</t>
  </si>
  <si>
    <t>для начисления</t>
  </si>
  <si>
    <t>страховых</t>
  </si>
  <si>
    <t>1.1.</t>
  </si>
  <si>
    <t>Страховые взносы в Пенсионный фонд Российской Федерации, всего</t>
  </si>
  <si>
    <t>по ставке 22,0 %</t>
  </si>
  <si>
    <t>по ставке 10,0 %</t>
  </si>
  <si>
    <t>1.2.</t>
  </si>
  <si>
    <t>1.3.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</si>
  <si>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</si>
  <si>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</si>
  <si>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</si>
  <si>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</si>
  <si>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</si>
  <si>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с применением ставки взносов в Фонд социального страхования</t>
  </si>
  <si>
    <t>Российской Федерации по ставке 0,0 %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</si>
  <si>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</si>
  <si>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</si>
  <si>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</si>
  <si>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2.3.</t>
  </si>
  <si>
    <t>2.4.</t>
  </si>
  <si>
    <t>2.5.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</si>
  <si>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</rPr>
      <t>*</t>
    </r>
  </si>
  <si>
    <t>Страховые взносы в Федеральный фонд обязательного медицинского</t>
  </si>
  <si>
    <t>страхования, всего (по ставке 5,1 %)</t>
  </si>
  <si>
    <t>Наименование показателя</t>
  </si>
  <si>
    <t>2. Расчеты (обоснования) расходов на социальные и иные выплаты населению</t>
  </si>
  <si>
    <t>Размер одной</t>
  </si>
  <si>
    <t>выплаты, руб.</t>
  </si>
  <si>
    <t>Общая сумма</t>
  </si>
  <si>
    <t>выплат, руб.</t>
  </si>
  <si>
    <t>Налоговая</t>
  </si>
  <si>
    <t>база, руб.</t>
  </si>
  <si>
    <t>%</t>
  </si>
  <si>
    <t xml:space="preserve">Ставка </t>
  </si>
  <si>
    <t>налога, %</t>
  </si>
  <si>
    <t>Сумма исчисленного</t>
  </si>
  <si>
    <t>налога, подлежащего</t>
  </si>
  <si>
    <t>уплате, руб.</t>
  </si>
  <si>
    <t>(гр. 3×гр. 4)</t>
  </si>
  <si>
    <t>(гр. 3×гр. 4/100)</t>
  </si>
  <si>
    <t>6. Расчет (обоснование) расходов на закупку товаров, работ, услуг</t>
  </si>
  <si>
    <t>номеров</t>
  </si>
  <si>
    <t>в год</t>
  </si>
  <si>
    <t>платежей</t>
  </si>
  <si>
    <t>Стоимость</t>
  </si>
  <si>
    <t>за единицу,</t>
  </si>
  <si>
    <t>услуг</t>
  </si>
  <si>
    <t>перевозки</t>
  </si>
  <si>
    <t>Цена услуги</t>
  </si>
  <si>
    <t>(гр. 3×гр. 4×гр.5)</t>
  </si>
  <si>
    <t>6.2. Расчет (обоснование) расходов на оплату транспортных услуг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</si>
  <si>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</si>
  <si>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</si>
  <si>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</si>
  <si>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</si>
  <si>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</si>
  <si>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</si>
  <si>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6.4. Расчет (обоснование) расходов на оплату аренды имущества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</si>
  <si>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</si>
  <si>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</si>
  <si>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</si>
  <si>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</si>
  <si>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</si>
  <si>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</si>
  <si>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</si>
  <si>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договоров</t>
  </si>
  <si>
    <t>услуги, руб.</t>
  </si>
  <si>
    <t>Средняя</t>
  </si>
  <si>
    <t>стоимость,</t>
  </si>
  <si>
    <t>1.3. Расчеты (обоснования) выплат персоналу по уходу за ребенком</t>
  </si>
  <si>
    <t>взносов, руб.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</si>
  <si>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</si>
  <si>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</si>
  <si>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</si>
  <si>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3. Расчет (обоснование) расходов на уплату налогов, сборов и иных платежей</t>
  </si>
  <si>
    <t>перевозки,</t>
  </si>
  <si>
    <t>(гр. 4×гр. 5×гр. 6)</t>
  </si>
  <si>
    <t>работ (услуг),</t>
  </si>
  <si>
    <t>(гр. 2×гр. 3)</t>
  </si>
  <si>
    <t>Абонентская и повременная оплата телефонной связи</t>
  </si>
  <si>
    <t>Расходы за использование сети Интернет</t>
  </si>
  <si>
    <t>Оплата отопления</t>
  </si>
  <si>
    <t>Оплата потребления электроэнергии</t>
  </si>
  <si>
    <t>Профдезинфекция</t>
  </si>
  <si>
    <t>Поверки счетчиков</t>
  </si>
  <si>
    <t>Утилизация</t>
  </si>
  <si>
    <t>Техническое обслуживание системы видеонаблюдения</t>
  </si>
  <si>
    <t>Лабораторные исследования РосПотребнадзор</t>
  </si>
  <si>
    <t>Противопожарные мероприятия</t>
  </si>
  <si>
    <t>Обслуживание тревожной кнопки</t>
  </si>
  <si>
    <t>Питание (льготники)</t>
  </si>
  <si>
    <t>Бумага и канцелярские принадлежности</t>
  </si>
  <si>
    <t>проезд</t>
  </si>
  <si>
    <t>налог на имущество</t>
  </si>
  <si>
    <t>земельный налог</t>
  </si>
  <si>
    <t>Субсидия на выполнение муниципального задания</t>
  </si>
  <si>
    <t>112</t>
  </si>
  <si>
    <t>119</t>
  </si>
  <si>
    <t>2. Расчет (обоснование) расходов на уплату налогов, сборов и иных платежей</t>
  </si>
  <si>
    <t>851</t>
  </si>
  <si>
    <t>Субсидии, предоставляемые в соответствии с абзацем вторым пункта 1 статьи 78.1 БК РФ</t>
  </si>
  <si>
    <t>4.1. Расчет (обоснование) расходов на оплату прочих работ, услуг</t>
  </si>
  <si>
    <t>Итого</t>
  </si>
  <si>
    <t>5. Расчет (обоснование) расходов на закупку товаров, работ, услуг</t>
  </si>
  <si>
    <t>244</t>
  </si>
  <si>
    <t>Поступления от оказания услуг (выполнения работ) на платной основе и от иной приносящей доход деятельности</t>
  </si>
  <si>
    <t>5.2. средства от приносящей доход деятельности</t>
  </si>
  <si>
    <t>Итого на выполнение муниципального задания:</t>
  </si>
  <si>
    <t>в том числе за счет субвенции:</t>
  </si>
  <si>
    <t>Итого субсидии на иные цели</t>
  </si>
  <si>
    <t>Итого по ПДД</t>
  </si>
  <si>
    <t>ВСЕГО</t>
  </si>
  <si>
    <t>111</t>
  </si>
  <si>
    <t>4. Расчет (обоснование) расходов на закупку товаров, работ, услуг в целях капитального ремонта</t>
  </si>
  <si>
    <t>договор</t>
  </si>
  <si>
    <t>суточные</t>
  </si>
  <si>
    <t>Ремонт авто</t>
  </si>
  <si>
    <t>Предрейсовый осмотр авто</t>
  </si>
  <si>
    <t>Технический осмотр авто</t>
  </si>
  <si>
    <t>Карта водителя</t>
  </si>
  <si>
    <t>Инфомационно-техническое обслуживание системы "Пилот"</t>
  </si>
  <si>
    <t xml:space="preserve">Медицинский осмотр </t>
  </si>
  <si>
    <t>Медицинский осмотр водителей</t>
  </si>
  <si>
    <t>Стахование детей во время перевозок</t>
  </si>
  <si>
    <t>Страхование водителя</t>
  </si>
  <si>
    <t>приобретение огнетушителей, противопожарный инвентарь</t>
  </si>
  <si>
    <t>Конпенсация ЖКУ</t>
  </si>
  <si>
    <t xml:space="preserve">питание 1-4классы </t>
  </si>
  <si>
    <t>книги (субвенция)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</si>
  <si>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</si>
  <si>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</si>
  <si>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Муниципального образовательного учреждения "Изобильненская школа" города Алушты</t>
  </si>
  <si>
    <t xml:space="preserve">Источник финансового обеспечения </t>
  </si>
  <si>
    <t>№ 
п/п</t>
  </si>
  <si>
    <t>Должность, 
группа должностей</t>
  </si>
  <si>
    <t>Установленная численность, единиц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</si>
  <si>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</si>
  <si>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</si>
  <si>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</si>
  <si>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</si>
  <si>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</si>
  <si>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</si>
  <si>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1</t>
  </si>
  <si>
    <t>Директор</t>
  </si>
  <si>
    <t>2</t>
  </si>
  <si>
    <t>Заместитель директора</t>
  </si>
  <si>
    <t>3</t>
  </si>
  <si>
    <t>Педагог дополнительного образования</t>
  </si>
  <si>
    <t>4</t>
  </si>
  <si>
    <t>Педагог-организатор</t>
  </si>
  <si>
    <t>5</t>
  </si>
  <si>
    <t>Воспитатель</t>
  </si>
  <si>
    <t>7</t>
  </si>
  <si>
    <t>Педагог-психолог</t>
  </si>
  <si>
    <t>8</t>
  </si>
  <si>
    <t>Педагог-библиотекарь</t>
  </si>
  <si>
    <t>9</t>
  </si>
  <si>
    <t>Учитель</t>
  </si>
  <si>
    <t>10</t>
  </si>
  <si>
    <t>Заведующий хозяйством</t>
  </si>
  <si>
    <t>11</t>
  </si>
  <si>
    <t>Лаборант</t>
  </si>
  <si>
    <t>12</t>
  </si>
  <si>
    <t>13</t>
  </si>
  <si>
    <t>Уборщик служебных помещений</t>
  </si>
  <si>
    <t>14</t>
  </si>
  <si>
    <t>Рабочий по комплексному обслуживанию и ремонту зданий</t>
  </si>
  <si>
    <t>15</t>
  </si>
  <si>
    <t>Дворник</t>
  </si>
  <si>
    <t>16</t>
  </si>
  <si>
    <t>Сторож</t>
  </si>
  <si>
    <t xml:space="preserve">Итого: </t>
  </si>
  <si>
    <t>оплата</t>
  </si>
  <si>
    <t>бензин</t>
  </si>
  <si>
    <t>ПЛАН  РАСХОДОВ</t>
  </si>
  <si>
    <t>Муниципальное общеобразовательное учреждение " Изобильненская школа" города Алушты</t>
  </si>
  <si>
    <t>(наименование учреждения)</t>
  </si>
  <si>
    <t>Раздел, подраздел</t>
  </si>
  <si>
    <t>0702</t>
  </si>
  <si>
    <t>Целевая статья</t>
  </si>
  <si>
    <t>-</t>
  </si>
  <si>
    <t>Наименование</t>
  </si>
  <si>
    <t>КОСГУ</t>
  </si>
  <si>
    <t>план</t>
  </si>
  <si>
    <t xml:space="preserve"> рублей</t>
  </si>
  <si>
    <t>КВР 100  "Расходы на выплату персоналу"</t>
  </si>
  <si>
    <t>Заработная плата</t>
  </si>
  <si>
    <t>Заработная плата (субсидия)</t>
  </si>
  <si>
    <r>
      <t>Прочие выплаты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</si>
  <si>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t>в том числе:  суточные при командировках</t>
  </si>
  <si>
    <t>другие выплаты</t>
  </si>
  <si>
    <t>Начисления на фонд оплаты труда</t>
  </si>
  <si>
    <t>оплата проезда по служебным командировкам</t>
  </si>
  <si>
    <t>найм жилых помещений при служебных командировках</t>
  </si>
  <si>
    <t>ИТОГО зарплата с начислениями (211 + 213)</t>
  </si>
  <si>
    <t>Х</t>
  </si>
  <si>
    <t>ИТОГО по КВР 110</t>
  </si>
  <si>
    <r>
      <t>Услуги связи</t>
    </r>
    <r>
      <rPr>
        <sz val="10"/>
        <rFont val="Times New Roman"/>
        <family val="1"/>
      </rPr>
      <t>, всего, в том числе:</t>
    </r>
  </si>
  <si>
    <t>оплата услуг почтовой связи (в том числе оплата услуг фельдъегерской и специальной связи);</t>
  </si>
  <si>
    <t>Закупка работ и услуг в сфере информационно-коммуникационных технологий</t>
  </si>
  <si>
    <t>из них: абонентская и повременная оплата телефонной связи (местная, междугородная, международная)</t>
  </si>
  <si>
    <t xml:space="preserve">             мобильная связь</t>
  </si>
  <si>
    <t xml:space="preserve">             расходы на использование сети Интернет</t>
  </si>
  <si>
    <t xml:space="preserve">             прочее</t>
  </si>
  <si>
    <t>другое</t>
  </si>
  <si>
    <r>
      <t>Транспортные услуги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</si>
  <si>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t>в том числе: найм транспортных средств</t>
  </si>
  <si>
    <r>
      <t>Коммунальные услуги</t>
    </r>
    <r>
      <rPr>
        <sz val="10"/>
        <rFont val="Times New Roman"/>
        <family val="1"/>
      </rPr>
      <t>, всего</t>
    </r>
  </si>
  <si>
    <t>в том числе: оплата отопления</t>
  </si>
  <si>
    <t xml:space="preserve">оплата потребления газа </t>
  </si>
  <si>
    <t>оплата потребления электроэнергии</t>
  </si>
  <si>
    <t>оплата водоснабжения, канализации</t>
  </si>
  <si>
    <r>
      <t>Арендная плата за пользование имуществом</t>
    </r>
    <r>
      <rPr>
        <sz val="10"/>
        <rFont val="Times New Roman"/>
        <family val="1"/>
      </rPr>
      <t>, всего</t>
    </r>
  </si>
  <si>
    <t>в том числе: аренда помещений</t>
  </si>
  <si>
    <t>Услуги по содержанию имущества</t>
  </si>
  <si>
    <t>в том числе: содержание в чистоте помещений, зданий. дворов</t>
  </si>
  <si>
    <t>профдезинфекция</t>
  </si>
  <si>
    <t>техническое обслуживание оборудования (поверки счетчиков, вентканалов)</t>
  </si>
  <si>
    <t>измерение контуров заземления</t>
  </si>
  <si>
    <t>гидравлика</t>
  </si>
  <si>
    <t>утилизация</t>
  </si>
  <si>
    <t>обслуживание системы видеонаблюдения</t>
  </si>
  <si>
    <t>обслуживание тревожной кнопки</t>
  </si>
  <si>
    <t>обслуживание противопожарной сигнализации</t>
  </si>
  <si>
    <t>текущий ремонт медицинского кабинета</t>
  </si>
  <si>
    <t>обслуживание котелен</t>
  </si>
  <si>
    <t>текущий ремонт(кабинетов, мастерских)</t>
  </si>
  <si>
    <t>капитальный ремонт вестибюля,пищеблока,санузлов</t>
  </si>
  <si>
    <t>ремонт системы вентиляции</t>
  </si>
  <si>
    <t>обработка деревянных конструкций (чердачного помещения)</t>
  </si>
  <si>
    <t>текущий ремонт внутренних инженерных сетей</t>
  </si>
  <si>
    <t>текущий ремонт магистральных трубопроводов внутренней системы отопления</t>
  </si>
  <si>
    <t>текущий ремонт сан.узлов учебного корпуса</t>
  </si>
  <si>
    <t>текущий ремонт магистральных трубопроводов внутренней системы водоснабжения и водоотведения</t>
  </si>
  <si>
    <t>текущий ремонт кровли (котельной)</t>
  </si>
  <si>
    <t>ремонт венканалов</t>
  </si>
  <si>
    <t>замена окон и дверей(рекреации, туалеты,спортзала)</t>
  </si>
  <si>
    <t>капитальный ремонт здания</t>
  </si>
  <si>
    <t>капитальный ремонт системы вентиляции</t>
  </si>
  <si>
    <t>заправка картриджа</t>
  </si>
  <si>
    <t>ремонт авто</t>
  </si>
  <si>
    <t>предрейсовый осмотр  авто</t>
  </si>
  <si>
    <t>технический осмотр авто</t>
  </si>
  <si>
    <t>лабораторные исследования РосПотребнадзор</t>
  </si>
  <si>
    <t>противопожарные мероприятия ( ремонт, перезарядка огнетушителя)</t>
  </si>
  <si>
    <r>
      <t>Прочие услуги</t>
    </r>
    <r>
      <rPr>
        <sz val="10"/>
        <rFont val="Times New Roman"/>
        <family val="1"/>
      </rPr>
      <t>, всего</t>
    </r>
  </si>
  <si>
    <t>тревожная кнопка</t>
  </si>
  <si>
    <t>спец. Оценка условий труда</t>
  </si>
  <si>
    <t>карта водителя</t>
  </si>
  <si>
    <t>хранение авто</t>
  </si>
  <si>
    <t>паспорта опасных отходов</t>
  </si>
  <si>
    <t>аттестаты (субвенция)</t>
  </si>
  <si>
    <t>Инфомационно- техническое обслуживание системы "Пилот"</t>
  </si>
  <si>
    <t>декларация о плате за негативное воздействие</t>
  </si>
  <si>
    <t>медицинский осмотр</t>
  </si>
  <si>
    <t>медицинский осмотр водителей</t>
  </si>
  <si>
    <t>питание (1-4кл) субвенция</t>
  </si>
  <si>
    <t xml:space="preserve">питание (льготники) </t>
  </si>
  <si>
    <t>подписка</t>
  </si>
  <si>
    <t>учеба</t>
  </si>
  <si>
    <r>
      <t>Прочие расходы</t>
    </r>
    <r>
      <rPr>
        <sz val="10"/>
        <rFont val="Times New Roman"/>
        <family val="1"/>
      </rPr>
      <t>, всего</t>
    </r>
  </si>
  <si>
    <t>из них: налог на имущество</t>
  </si>
  <si>
    <t>экологический взнос</t>
  </si>
  <si>
    <t>грамоты</t>
  </si>
  <si>
    <r>
      <t>Увеличение стоимости основных средств</t>
    </r>
    <r>
      <rPr>
        <sz val="10"/>
        <rFont val="Times New Roman"/>
        <family val="1"/>
      </rPr>
      <t>, всего</t>
    </r>
  </si>
  <si>
    <t xml:space="preserve">в том числе:                                                                              </t>
  </si>
  <si>
    <t xml:space="preserve">мебель </t>
  </si>
  <si>
    <t>спортивное оборудование</t>
  </si>
  <si>
    <t>спортивный инвентарь (8050003)</t>
  </si>
  <si>
    <t>музыкальное оборудование</t>
  </si>
  <si>
    <t>медицинское оборудование</t>
  </si>
  <si>
    <t>бытовая техника</t>
  </si>
  <si>
    <t>Закупка товаров в сфере информационно-коммуникационных технологий</t>
  </si>
  <si>
    <t>их них: компьютерная техника</t>
  </si>
  <si>
    <t xml:space="preserve">             оргтехника</t>
  </si>
  <si>
    <t xml:space="preserve">             телефонные аппараты (в т.ч. мобильные)</t>
  </si>
  <si>
    <t xml:space="preserve">              прочее</t>
  </si>
  <si>
    <t>стенды</t>
  </si>
  <si>
    <t>пожарные щиты</t>
  </si>
  <si>
    <t>учебно-наглядные пособия</t>
  </si>
  <si>
    <r>
      <t>Увеличение стоимости материальных запасов</t>
    </r>
    <r>
      <rPr>
        <sz val="10"/>
        <rFont val="Times New Roman"/>
        <family val="1"/>
      </rPr>
      <t>, всего</t>
    </r>
  </si>
  <si>
    <t>хозинвентарь</t>
  </si>
  <si>
    <t>в том числе:                                                                                  бумага и канцелярские принадлежности</t>
  </si>
  <si>
    <t>моющие и дезинфицирующие</t>
  </si>
  <si>
    <t>строительные материалы</t>
  </si>
  <si>
    <t>масло, тосол, дисцилированая вода</t>
  </si>
  <si>
    <t>запчасти</t>
  </si>
  <si>
    <t>КВР 830 "Исполнение судебных актов"</t>
  </si>
  <si>
    <t>Оплата судебных исков</t>
  </si>
  <si>
    <t>КВР 850 "Уплата налогов, сборов и иных платежей"</t>
  </si>
  <si>
    <t>Налоги</t>
  </si>
  <si>
    <t>прочие налоги</t>
  </si>
  <si>
    <t>ВСЕГО РАСХОДОВ</t>
  </si>
  <si>
    <t xml:space="preserve">   852            853</t>
  </si>
  <si>
    <t>капитальные вложения</t>
  </si>
  <si>
    <t>Директор МОУ "Изобильненская школа им.Э.У. Чалбаша"</t>
  </si>
  <si>
    <t>Е.П.Савельева</t>
  </si>
  <si>
    <t>проверка и калибровка тахографа</t>
  </si>
  <si>
    <t>ремонт оргтехники</t>
  </si>
  <si>
    <t>юридические услуги</t>
  </si>
  <si>
    <t>оценка имущества</t>
  </si>
  <si>
    <t>страхование гражданской ответственности</t>
  </si>
  <si>
    <t xml:space="preserve">обслуживание школьного сайта </t>
  </si>
  <si>
    <t>закупка услуг в сфере информационных технологий</t>
  </si>
  <si>
    <t>лицензирование автобуса</t>
  </si>
  <si>
    <t>стремянка</t>
  </si>
  <si>
    <t>Гидравлика</t>
  </si>
  <si>
    <t>Страхование детей во время перевозок</t>
  </si>
  <si>
    <t>Бензин</t>
  </si>
  <si>
    <t>Книги (субвенция)</t>
  </si>
  <si>
    <t>Противопожарный инвентарь</t>
  </si>
  <si>
    <t>Хозинвентарь</t>
  </si>
  <si>
    <t>Оплата за вывоз ТБО</t>
  </si>
  <si>
    <t>оплата за вывоз ТБО</t>
  </si>
  <si>
    <t>Информационный портал</t>
  </si>
  <si>
    <t>Строительные материалы (остаток 2018)</t>
  </si>
  <si>
    <t>Оценка технического состояния бытовой, электронной техники</t>
  </si>
  <si>
    <t xml:space="preserve"> Вода-крыма</t>
  </si>
  <si>
    <t>Декларация о потреблении энергетических ресурсов</t>
  </si>
  <si>
    <t>Юридические услуги</t>
  </si>
  <si>
    <t>Аттестаты и приложения к ним (субвенция)</t>
  </si>
  <si>
    <t>Охрана ЧОП</t>
  </si>
  <si>
    <t>гос.пошлина на лицензирование автобуса</t>
  </si>
  <si>
    <t>Похвальные листы, грамоты</t>
  </si>
  <si>
    <t>Учеба</t>
  </si>
  <si>
    <t>Питание (льготники 5-11 кл)</t>
  </si>
  <si>
    <t>Информационно-консультационные услуги на подачу заявок на выпуск карт тахографа</t>
  </si>
  <si>
    <t>настройка контрольного устройства, проверка контрольного устройства</t>
  </si>
  <si>
    <t>Измерение контуров заземления</t>
  </si>
  <si>
    <t>Страхование гражданской ответственности</t>
  </si>
  <si>
    <t>Триммер бензо</t>
  </si>
  <si>
    <t>Система фильтрации доступа</t>
  </si>
  <si>
    <t>Страхование</t>
  </si>
  <si>
    <t xml:space="preserve">Страхование водителя </t>
  </si>
  <si>
    <t>госпошлина</t>
  </si>
  <si>
    <t>учебно-бланочная продукция (СУБВЕНЦИЯ)</t>
  </si>
  <si>
    <t xml:space="preserve">Огнезащитная обработка </t>
  </si>
  <si>
    <t>Охрана в дневное время</t>
  </si>
  <si>
    <t>Мебель в библиотеку (субвенция)</t>
  </si>
  <si>
    <t>Оборудование турникет</t>
  </si>
  <si>
    <t>Сертификат ключа проверки ЭП ФРДО</t>
  </si>
  <si>
    <t>Прочистка канализационной сети</t>
  </si>
  <si>
    <t>Услуги видеоконференцсвязи</t>
  </si>
  <si>
    <t>Система мгновенного оповещения "Т-коммуникатор"</t>
  </si>
  <si>
    <t xml:space="preserve">Водитель </t>
  </si>
  <si>
    <t>Масло, тосол, дистилированная вода</t>
  </si>
  <si>
    <t>Запчасти</t>
  </si>
  <si>
    <t xml:space="preserve"> на 2020 год</t>
  </si>
  <si>
    <t>Остаток денежных средств 2019</t>
  </si>
  <si>
    <t>Информационные стенды</t>
  </si>
  <si>
    <t>Техническое обслуживание тревожной кнопки</t>
  </si>
  <si>
    <t>остаток для переброски</t>
  </si>
  <si>
    <t>Остаток денежных средств 2019 (субвенция)</t>
  </si>
  <si>
    <t>Сдача макулатура</t>
  </si>
  <si>
    <t>Термометр бесконтактный 244/310</t>
  </si>
  <si>
    <t xml:space="preserve"> "5" 243,244</t>
  </si>
  <si>
    <t>"5" 244 /226</t>
  </si>
  <si>
    <r>
      <t xml:space="preserve">6.4. Расчет (обоснование) расходов на оплату прочих работ, услуг   </t>
    </r>
    <r>
      <rPr>
        <b/>
        <sz val="12"/>
        <color indexed="10"/>
        <rFont val="Times New Roman"/>
        <family val="1"/>
      </rPr>
      <t>244/226</t>
    </r>
  </si>
  <si>
    <r>
      <t xml:space="preserve">6.3. Расчет (обоснование) расходов на оплату работ, услуг по содержанию имущества </t>
    </r>
    <r>
      <rPr>
        <b/>
        <sz val="12"/>
        <color indexed="10"/>
        <rFont val="Times New Roman"/>
        <family val="1"/>
      </rPr>
      <t>244/225</t>
    </r>
  </si>
  <si>
    <r>
      <t xml:space="preserve">6.2. Расчет (обоснование) расходов на оплату коммунальных услуг </t>
    </r>
    <r>
      <rPr>
        <b/>
        <sz val="12"/>
        <color indexed="10"/>
        <rFont val="Times New Roman"/>
        <family val="1"/>
      </rPr>
      <t>244/223</t>
    </r>
  </si>
  <si>
    <r>
      <t xml:space="preserve">6.1. Расчет (обоснование) расходов на оплату услуг связи  </t>
    </r>
    <r>
      <rPr>
        <b/>
        <sz val="12"/>
        <color indexed="10"/>
        <rFont val="Times New Roman"/>
        <family val="1"/>
      </rPr>
      <t>244/221</t>
    </r>
  </si>
  <si>
    <r>
      <t xml:space="preserve">6.5   Расходыпо страхованию  </t>
    </r>
    <r>
      <rPr>
        <b/>
        <sz val="12"/>
        <color indexed="10"/>
        <rFont val="Times New Roman"/>
        <family val="1"/>
      </rPr>
      <t>244/227</t>
    </r>
  </si>
  <si>
    <r>
      <t xml:space="preserve">6.6. Расчет (обоснование) расходов на приобретение основных средств,  </t>
    </r>
    <r>
      <rPr>
        <b/>
        <sz val="12"/>
        <color indexed="10"/>
        <rFont val="Times New Roman"/>
        <family val="1"/>
      </rPr>
      <t>244/310</t>
    </r>
  </si>
  <si>
    <t xml:space="preserve">6.7      Увеличение стоимости </t>
  </si>
  <si>
    <r>
      <t xml:space="preserve">горюче-смазочных материалов   </t>
    </r>
    <r>
      <rPr>
        <b/>
        <sz val="12"/>
        <color indexed="10"/>
        <rFont val="Times New Roman"/>
        <family val="1"/>
      </rPr>
      <t>244/343</t>
    </r>
  </si>
  <si>
    <r>
      <t xml:space="preserve">6.8      Увеличение стоимости строительных материалов  </t>
    </r>
    <r>
      <rPr>
        <b/>
        <sz val="12"/>
        <color indexed="10"/>
        <rFont val="Times New Roman"/>
        <family val="1"/>
      </rPr>
      <t>244/344</t>
    </r>
  </si>
  <si>
    <t xml:space="preserve">6.9    Увеличение стоимости прочих оборотных  </t>
  </si>
  <si>
    <r>
      <t xml:space="preserve">запасов (материалов)  </t>
    </r>
    <r>
      <rPr>
        <b/>
        <sz val="12"/>
        <color indexed="10"/>
        <rFont val="Times New Roman"/>
        <family val="1"/>
      </rPr>
      <t>244/346</t>
    </r>
  </si>
  <si>
    <t>6.9    Увеличение стоимости прочих материальных запасов</t>
  </si>
  <si>
    <r>
      <t xml:space="preserve">однократного применения  </t>
    </r>
    <r>
      <rPr>
        <b/>
        <sz val="12"/>
        <color indexed="10"/>
        <rFont val="Times New Roman"/>
        <family val="1"/>
      </rPr>
      <t xml:space="preserve"> 244/349</t>
    </r>
  </si>
  <si>
    <t>в том числе за счет муниципального бюджета:</t>
  </si>
  <si>
    <t>Облучатель-рециркулятор 244/310 (2 шт)</t>
  </si>
  <si>
    <t>остаток по проплатам</t>
  </si>
  <si>
    <t>остаток для передвижки</t>
  </si>
  <si>
    <t xml:space="preserve">остаток по проплатам </t>
  </si>
  <si>
    <t>Аттестаты,приложения к аттестатам (субвенция)</t>
  </si>
  <si>
    <t>Техническое обслуживание противопожарной сигнализации</t>
  </si>
  <si>
    <t>Хранение авто</t>
  </si>
  <si>
    <t>Услуги по аккарицидной обработке</t>
  </si>
  <si>
    <t>Аккарицидная обработка</t>
  </si>
  <si>
    <t xml:space="preserve"> </t>
  </si>
  <si>
    <t xml:space="preserve">Облучатель-рециркулятор 244/346 </t>
  </si>
  <si>
    <t>Сухой паек (льготники)</t>
  </si>
  <si>
    <t>Сухой паек (льготники 5-11классы)</t>
  </si>
  <si>
    <t>сухой паек 1-4 классы</t>
  </si>
  <si>
    <t>Заправка картриджа, ремонт оргтехники</t>
  </si>
  <si>
    <t>Проведение инвентаризации стац инсточников и выбросов вредных веществ в атмосферу</t>
  </si>
  <si>
    <t>Разработка программы производ экологического контроля</t>
  </si>
  <si>
    <t>Журнально-бланочная продукция</t>
  </si>
  <si>
    <t>проведение инвентаризации стационарных источников и выбросов вредных веществ</t>
  </si>
  <si>
    <t>журнально-бланочная продукция</t>
  </si>
  <si>
    <t>подготовка  программы производственно-экологического контроля</t>
  </si>
  <si>
    <t>611+612</t>
  </si>
  <si>
    <t>мб</t>
  </si>
  <si>
    <t>текущий ремонт</t>
  </si>
  <si>
    <t>м/б</t>
  </si>
  <si>
    <t>Журнально-бланочная продукция (субвенция)</t>
  </si>
  <si>
    <t>Противопожарный инвентарь (огнетушитель,кошма)</t>
  </si>
  <si>
    <t>Страхование автобуса</t>
  </si>
  <si>
    <t>Термометры</t>
  </si>
  <si>
    <t>Рециркуляторы- облучатели</t>
  </si>
  <si>
    <t>рециркуляторы</t>
  </si>
  <si>
    <t>горячее питание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</si>
</sst>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[$-FC19]d\ mmmm\ yyyy\ &quot;г.&quot;"/>
    <numFmt numFmtId="191" formatCode="_-* #,##0.000\ _р_._-;\-* #,##0.000\ _р_._-;_-* &quot;-&quot;??\ _р_._-;_-@_-"/>
    <numFmt numFmtId="192" formatCode="_-* #,##0.0000000_р_._-;\-* #,##0.0000000_р_._-;_-* &quot;-&quot;??_р_._-;_-@_-"/>
    <numFmt numFmtId="193" formatCode="_-* #,##0.000_р_._-;\-* #,##0.000_р_._-;_-* &quot;-&quot;??_р_.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51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rgb="FFFFC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3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78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79" fontId="3" fillId="0" borderId="0" xfId="60" applyFont="1" applyAlignment="1">
      <alignment horizontal="left"/>
    </xf>
    <xf numFmtId="179" fontId="6" fillId="0" borderId="0" xfId="6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25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8" fillId="26" borderId="0" xfId="0" applyFont="1" applyFill="1" applyBorder="1" applyAlignment="1">
      <alignment horizontal="left"/>
    </xf>
    <xf numFmtId="0" fontId="8" fillId="26" borderId="0" xfId="0" applyFont="1" applyFill="1" applyAlignment="1">
      <alignment horizontal="left"/>
    </xf>
    <xf numFmtId="0" fontId="8" fillId="27" borderId="0" xfId="0" applyFont="1" applyFill="1" applyAlignment="1">
      <alignment horizontal="left"/>
    </xf>
    <xf numFmtId="0" fontId="57" fillId="0" borderId="0" xfId="0" applyNumberFormat="1" applyFont="1" applyFill="1" applyBorder="1" applyAlignment="1">
      <alignment horizontal="left"/>
    </xf>
    <xf numFmtId="179" fontId="57" fillId="0" borderId="0" xfId="60" applyFont="1" applyFill="1" applyBorder="1" applyAlignment="1">
      <alignment horizontal="left"/>
    </xf>
    <xf numFmtId="0" fontId="58" fillId="0" borderId="0" xfId="0" applyNumberFormat="1" applyFont="1" applyFill="1" applyBorder="1" applyAlignment="1">
      <alignment horizontal="left"/>
    </xf>
    <xf numFmtId="179" fontId="58" fillId="0" borderId="0" xfId="60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179" fontId="59" fillId="0" borderId="0" xfId="60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right"/>
    </xf>
    <xf numFmtId="179" fontId="60" fillId="0" borderId="0" xfId="60" applyFont="1" applyFill="1" applyBorder="1" applyAlignment="1">
      <alignment horizontal="left"/>
    </xf>
    <xf numFmtId="179" fontId="61" fillId="0" borderId="0" xfId="60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left"/>
    </xf>
    <xf numFmtId="179" fontId="62" fillId="0" borderId="0" xfId="60" applyFont="1" applyFill="1" applyBorder="1" applyAlignment="1">
      <alignment horizontal="left"/>
    </xf>
    <xf numFmtId="49" fontId="62" fillId="0" borderId="0" xfId="0" applyNumberFormat="1" applyFont="1" applyFill="1" applyBorder="1" applyAlignment="1">
      <alignment horizontal="left"/>
    </xf>
    <xf numFmtId="49" fontId="62" fillId="0" borderId="11" xfId="0" applyNumberFormat="1" applyFont="1" applyFill="1" applyBorder="1" applyAlignment="1">
      <alignment horizontal="left"/>
    </xf>
    <xf numFmtId="179" fontId="58" fillId="0" borderId="0" xfId="6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179" fontId="58" fillId="0" borderId="0" xfId="60" applyFont="1" applyFill="1" applyBorder="1" applyAlignment="1">
      <alignment horizontal="center" vertical="top"/>
    </xf>
    <xf numFmtId="0" fontId="58" fillId="0" borderId="0" xfId="0" applyNumberFormat="1" applyFont="1" applyFill="1" applyBorder="1" applyAlignment="1">
      <alignment horizontal="center" vertical="top"/>
    </xf>
    <xf numFmtId="179" fontId="58" fillId="0" borderId="0" xfId="60" applyFont="1" applyFill="1" applyBorder="1" applyAlignment="1">
      <alignment horizontal="left" vertical="center"/>
    </xf>
    <xf numFmtId="0" fontId="58" fillId="0" borderId="0" xfId="0" applyNumberFormat="1" applyFont="1" applyFill="1" applyBorder="1" applyAlignment="1">
      <alignment horizontal="left" vertical="center"/>
    </xf>
    <xf numFmtId="179" fontId="5" fillId="0" borderId="12" xfId="60" applyFont="1" applyFill="1" applyBorder="1" applyAlignment="1">
      <alignment horizontal="left"/>
    </xf>
    <xf numFmtId="179" fontId="8" fillId="0" borderId="12" xfId="60" applyFont="1" applyFill="1" applyBorder="1" applyAlignment="1">
      <alignment horizontal="left"/>
    </xf>
    <xf numFmtId="179" fontId="8" fillId="27" borderId="12" xfId="60" applyFont="1" applyFill="1" applyBorder="1" applyAlignment="1">
      <alignment horizontal="left"/>
    </xf>
    <xf numFmtId="179" fontId="5" fillId="0" borderId="12" xfId="60" applyFont="1" applyBorder="1" applyAlignment="1">
      <alignment horizontal="left"/>
    </xf>
    <xf numFmtId="179" fontId="7" fillId="0" borderId="12" xfId="60" applyFont="1" applyBorder="1" applyAlignment="1">
      <alignment horizontal="left"/>
    </xf>
    <xf numFmtId="179" fontId="8" fillId="0" borderId="12" xfId="60" applyFont="1" applyBorder="1" applyAlignment="1">
      <alignment horizontal="left"/>
    </xf>
    <xf numFmtId="179" fontId="10" fillId="0" borderId="12" xfId="60" applyFont="1" applyFill="1" applyBorder="1" applyAlignment="1">
      <alignment horizontal="left"/>
    </xf>
    <xf numFmtId="179" fontId="10" fillId="25" borderId="12" xfId="60" applyFont="1" applyFill="1" applyBorder="1" applyAlignment="1">
      <alignment horizontal="left"/>
    </xf>
    <xf numFmtId="179" fontId="63" fillId="0" borderId="12" xfId="6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63" fillId="0" borderId="0" xfId="0" applyFont="1" applyAlignment="1">
      <alignment horizontal="left"/>
    </xf>
    <xf numFmtId="0" fontId="8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49" fontId="3" fillId="4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179" fontId="10" fillId="7" borderId="12" xfId="6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wrapText="1"/>
      <protection/>
    </xf>
    <xf numFmtId="0" fontId="8" fillId="0" borderId="16" xfId="0" applyNumberFormat="1" applyFont="1" applyBorder="1" applyAlignment="1" applyProtection="1">
      <alignment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28" borderId="16" xfId="0" applyNumberFormat="1" applyFont="1" applyFill="1" applyBorder="1" applyAlignment="1" applyProtection="1">
      <alignment wrapText="1"/>
      <protection/>
    </xf>
    <xf numFmtId="0" fontId="10" fillId="28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28" borderId="18" xfId="0" applyNumberFormat="1" applyFont="1" applyFill="1" applyBorder="1" applyAlignment="1" applyProtection="1">
      <alignment wrapText="1"/>
      <protection/>
    </xf>
    <xf numFmtId="0" fontId="10" fillId="28" borderId="19" xfId="0" applyFont="1" applyFill="1" applyBorder="1" applyAlignment="1" applyProtection="1">
      <alignment horizontal="center" vertical="center" wrapText="1"/>
      <protection/>
    </xf>
    <xf numFmtId="0" fontId="10" fillId="29" borderId="20" xfId="0" applyNumberFormat="1" applyFont="1" applyFill="1" applyBorder="1" applyAlignment="1" applyProtection="1">
      <alignment wrapText="1"/>
      <protection/>
    </xf>
    <xf numFmtId="0" fontId="10" fillId="29" borderId="17" xfId="0" applyFont="1" applyFill="1" applyBorder="1" applyAlignment="1" applyProtection="1">
      <alignment horizontal="center" vertical="center" wrapText="1"/>
      <protection/>
    </xf>
    <xf numFmtId="0" fontId="10" fillId="29" borderId="0" xfId="0" applyFont="1" applyFill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0" fontId="8" fillId="4" borderId="16" xfId="0" applyNumberFormat="1" applyFont="1" applyFill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/>
      <protection/>
    </xf>
    <xf numFmtId="0" fontId="10" fillId="30" borderId="16" xfId="0" applyFont="1" applyFill="1" applyBorder="1" applyAlignment="1" applyProtection="1">
      <alignment/>
      <protection/>
    </xf>
    <xf numFmtId="0" fontId="8" fillId="9" borderId="0" xfId="0" applyFont="1" applyFill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8" fillId="0" borderId="16" xfId="0" applyFont="1" applyBorder="1" applyAlignment="1" applyProtection="1">
      <alignment vertical="top" wrapText="1"/>
      <protection/>
    </xf>
    <xf numFmtId="0" fontId="8" fillId="0" borderId="16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 horizontal="left"/>
      <protection/>
    </xf>
    <xf numFmtId="0" fontId="10" fillId="30" borderId="16" xfId="0" applyFont="1" applyFill="1" applyBorder="1" applyAlignment="1" applyProtection="1">
      <alignment wrapText="1"/>
      <protection/>
    </xf>
    <xf numFmtId="0" fontId="10" fillId="0" borderId="16" xfId="0" applyNumberFormat="1" applyFont="1" applyBorder="1" applyAlignment="1" applyProtection="1">
      <alignment wrapText="1"/>
      <protection/>
    </xf>
    <xf numFmtId="0" fontId="8" fillId="0" borderId="21" xfId="0" applyNumberFormat="1" applyFont="1" applyBorder="1" applyAlignment="1" applyProtection="1">
      <alignment wrapText="1"/>
      <protection/>
    </xf>
    <xf numFmtId="0" fontId="8" fillId="26" borderId="21" xfId="0" applyNumberFormat="1" applyFont="1" applyFill="1" applyBorder="1" applyAlignment="1" applyProtection="1">
      <alignment horizontal="left" wrapText="1"/>
      <protection locked="0"/>
    </xf>
    <xf numFmtId="0" fontId="8" fillId="26" borderId="22" xfId="0" applyNumberFormat="1" applyFont="1" applyFill="1" applyBorder="1" applyAlignment="1" applyProtection="1">
      <alignment horizontal="left" wrapText="1"/>
      <protection locked="0"/>
    </xf>
    <xf numFmtId="179" fontId="10" fillId="7" borderId="23" xfId="6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79" fontId="8" fillId="31" borderId="12" xfId="60" applyFont="1" applyFill="1" applyBorder="1" applyAlignment="1">
      <alignment horizontal="center" vertical="center"/>
    </xf>
    <xf numFmtId="179" fontId="5" fillId="0" borderId="12" xfId="60" applyFont="1" applyFill="1" applyBorder="1" applyAlignment="1">
      <alignment horizontal="center" vertical="center"/>
    </xf>
    <xf numFmtId="179" fontId="5" fillId="0" borderId="12" xfId="6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9" fontId="8" fillId="0" borderId="12" xfId="60" applyFont="1" applyFill="1" applyBorder="1" applyAlignment="1">
      <alignment horizontal="center" vertical="center"/>
    </xf>
    <xf numFmtId="179" fontId="8" fillId="0" borderId="12" xfId="6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31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9" fontId="8" fillId="0" borderId="12" xfId="60" applyFont="1" applyFill="1" applyBorder="1" applyAlignment="1">
      <alignment horizontal="left" vertical="center"/>
    </xf>
    <xf numFmtId="0" fontId="8" fillId="26" borderId="21" xfId="0" applyFont="1" applyFill="1" applyBorder="1" applyAlignment="1" applyProtection="1">
      <alignment wrapText="1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17" fillId="10" borderId="12" xfId="0" applyFont="1" applyFill="1" applyBorder="1" applyAlignment="1" applyProtection="1">
      <alignment horizontal="center"/>
      <protection/>
    </xf>
    <xf numFmtId="179" fontId="8" fillId="0" borderId="12" xfId="60" applyFont="1" applyBorder="1" applyAlignment="1" applyProtection="1">
      <alignment/>
      <protection/>
    </xf>
    <xf numFmtId="43" fontId="8" fillId="0" borderId="12" xfId="0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43" fontId="8" fillId="26" borderId="12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8" fillId="26" borderId="16" xfId="0" applyNumberFormat="1" applyFont="1" applyFill="1" applyBorder="1" applyAlignment="1" applyProtection="1">
      <alignment horizontal="left" wrapText="1"/>
      <protection locked="0"/>
    </xf>
    <xf numFmtId="0" fontId="10" fillId="32" borderId="16" xfId="0" applyFont="1" applyFill="1" applyBorder="1" applyAlignment="1" applyProtection="1">
      <alignment/>
      <protection/>
    </xf>
    <xf numFmtId="179" fontId="10" fillId="32" borderId="12" xfId="60" applyFont="1" applyFill="1" applyBorder="1" applyAlignment="1" applyProtection="1">
      <alignment horizontal="right"/>
      <protection/>
    </xf>
    <xf numFmtId="0" fontId="8" fillId="26" borderId="16" xfId="0" applyFont="1" applyFill="1" applyBorder="1" applyAlignment="1" applyProtection="1">
      <alignment/>
      <protection/>
    </xf>
    <xf numFmtId="0" fontId="8" fillId="26" borderId="16" xfId="0" applyNumberFormat="1" applyFont="1" applyFill="1" applyBorder="1" applyAlignment="1" applyProtection="1">
      <alignment wrapText="1"/>
      <protection/>
    </xf>
    <xf numFmtId="0" fontId="10" fillId="26" borderId="16" xfId="0" applyNumberFormat="1" applyFont="1" applyFill="1" applyBorder="1" applyAlignment="1" applyProtection="1">
      <alignment wrapText="1"/>
      <protection/>
    </xf>
    <xf numFmtId="0" fontId="63" fillId="26" borderId="16" xfId="0" applyNumberFormat="1" applyFont="1" applyFill="1" applyBorder="1" applyAlignment="1" applyProtection="1">
      <alignment horizontal="left" wrapText="1"/>
      <protection locked="0"/>
    </xf>
    <xf numFmtId="43" fontId="63" fillId="26" borderId="12" xfId="0" applyNumberFormat="1" applyFont="1" applyFill="1" applyBorder="1" applyAlignment="1" applyProtection="1">
      <alignment/>
      <protection/>
    </xf>
    <xf numFmtId="43" fontId="63" fillId="0" borderId="12" xfId="0" applyNumberFormat="1" applyFont="1" applyBorder="1" applyAlignment="1" applyProtection="1">
      <alignment/>
      <protection/>
    </xf>
    <xf numFmtId="0" fontId="10" fillId="32" borderId="21" xfId="0" applyFont="1" applyFill="1" applyBorder="1" applyAlignment="1" applyProtection="1">
      <alignment wrapText="1"/>
      <protection/>
    </xf>
    <xf numFmtId="0" fontId="8" fillId="0" borderId="21" xfId="0" applyFont="1" applyFill="1" applyBorder="1" applyAlignment="1" applyProtection="1">
      <alignment wrapText="1"/>
      <protection/>
    </xf>
    <xf numFmtId="0" fontId="8" fillId="26" borderId="22" xfId="0" applyNumberFormat="1" applyFont="1" applyFill="1" applyBorder="1" applyAlignment="1" applyProtection="1">
      <alignment wrapText="1"/>
      <protection/>
    </xf>
    <xf numFmtId="2" fontId="8" fillId="0" borderId="1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179" fontId="10" fillId="27" borderId="12" xfId="60" applyFont="1" applyFill="1" applyBorder="1" applyAlignment="1">
      <alignment horizontal="center" vertical="center"/>
    </xf>
    <xf numFmtId="179" fontId="10" fillId="27" borderId="12" xfId="60" applyFont="1" applyFill="1" applyBorder="1" applyAlignment="1">
      <alignment horizontal="left"/>
    </xf>
    <xf numFmtId="0" fontId="10" fillId="27" borderId="0" xfId="0" applyFont="1" applyFill="1" applyBorder="1" applyAlignment="1">
      <alignment horizontal="left"/>
    </xf>
    <xf numFmtId="0" fontId="10" fillId="27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10" fillId="34" borderId="0" xfId="0" applyFont="1" applyFill="1" applyAlignment="1">
      <alignment horizontal="left"/>
    </xf>
    <xf numFmtId="0" fontId="10" fillId="27" borderId="0" xfId="0" applyFont="1" applyFill="1" applyAlignment="1">
      <alignment horizontal="left" vertical="center"/>
    </xf>
    <xf numFmtId="179" fontId="8" fillId="0" borderId="12" xfId="60" applyFont="1" applyFill="1" applyBorder="1" applyAlignment="1">
      <alignment vertical="center"/>
    </xf>
    <xf numFmtId="0" fontId="63" fillId="0" borderId="0" xfId="0" applyFont="1" applyFill="1" applyAlignment="1">
      <alignment horizontal="left" vertical="center"/>
    </xf>
    <xf numFmtId="179" fontId="63" fillId="0" borderId="12" xfId="60" applyFont="1" applyFill="1" applyBorder="1" applyAlignment="1">
      <alignment horizontal="center" vertical="center"/>
    </xf>
    <xf numFmtId="179" fontId="63" fillId="31" borderId="12" xfId="60" applyFont="1" applyFill="1" applyBorder="1" applyAlignment="1">
      <alignment horizontal="center" vertical="center"/>
    </xf>
    <xf numFmtId="0" fontId="64" fillId="31" borderId="0" xfId="0" applyFont="1" applyFill="1" applyAlignment="1">
      <alignment horizontal="left" vertical="center"/>
    </xf>
    <xf numFmtId="0" fontId="64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 vertical="center" wrapText="1"/>
      <protection/>
    </xf>
    <xf numFmtId="0" fontId="63" fillId="26" borderId="16" xfId="0" applyNumberFormat="1" applyFont="1" applyFill="1" applyBorder="1" applyAlignment="1" applyProtection="1">
      <alignment wrapText="1"/>
      <protection/>
    </xf>
    <xf numFmtId="0" fontId="63" fillId="26" borderId="21" xfId="0" applyNumberFormat="1" applyFont="1" applyFill="1" applyBorder="1" applyAlignment="1" applyProtection="1">
      <alignment horizontal="left" wrapText="1"/>
      <protection locked="0"/>
    </xf>
    <xf numFmtId="0" fontId="10" fillId="35" borderId="16" xfId="0" applyFont="1" applyFill="1" applyBorder="1" applyAlignment="1" applyProtection="1">
      <alignment/>
      <protection/>
    </xf>
    <xf numFmtId="43" fontId="10" fillId="35" borderId="12" xfId="0" applyNumberFormat="1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63" fillId="0" borderId="16" xfId="0" applyFont="1" applyFill="1" applyBorder="1" applyAlignment="1" applyProtection="1">
      <alignment wrapText="1"/>
      <protection/>
    </xf>
    <xf numFmtId="179" fontId="63" fillId="0" borderId="12" xfId="60" applyFont="1" applyBorder="1" applyAlignment="1" applyProtection="1">
      <alignment/>
      <protection/>
    </xf>
    <xf numFmtId="0" fontId="63" fillId="0" borderId="12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10" fillId="35" borderId="16" xfId="0" applyNumberFormat="1" applyFont="1" applyFill="1" applyBorder="1" applyAlignment="1" applyProtection="1">
      <alignment horizontal="left" wrapText="1"/>
      <protection locked="0"/>
    </xf>
    <xf numFmtId="2" fontId="3" fillId="0" borderId="0" xfId="0" applyNumberFormat="1" applyFont="1" applyBorder="1" applyAlignment="1" applyProtection="1">
      <alignment horizontal="center"/>
      <protection/>
    </xf>
    <xf numFmtId="179" fontId="8" fillId="0" borderId="12" xfId="60" applyFont="1" applyBorder="1" applyAlignment="1">
      <alignment vertical="center" wrapText="1"/>
    </xf>
    <xf numFmtId="179" fontId="8" fillId="0" borderId="12" xfId="60" applyFont="1" applyBorder="1" applyAlignment="1">
      <alignment vertical="center"/>
    </xf>
    <xf numFmtId="171" fontId="8" fillId="0" borderId="12" xfId="0" applyNumberFormat="1" applyFont="1" applyBorder="1" applyAlignment="1" applyProtection="1">
      <alignment/>
      <protection/>
    </xf>
    <xf numFmtId="179" fontId="58" fillId="0" borderId="12" xfId="6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171" fontId="8" fillId="0" borderId="12" xfId="0" applyNumberFormat="1" applyFont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Border="1" applyAlignment="1" applyProtection="1">
      <alignment/>
      <protection/>
    </xf>
    <xf numFmtId="43" fontId="8" fillId="0" borderId="0" xfId="0" applyNumberFormat="1" applyFont="1" applyAlignment="1" applyProtection="1">
      <alignment/>
      <protection/>
    </xf>
    <xf numFmtId="179" fontId="8" fillId="0" borderId="25" xfId="6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/>
    </xf>
    <xf numFmtId="179" fontId="3" fillId="0" borderId="0" xfId="60" applyFont="1" applyFill="1" applyBorder="1" applyAlignment="1">
      <alignment horizontal="left"/>
    </xf>
    <xf numFmtId="179" fontId="5" fillId="0" borderId="0" xfId="60" applyFont="1" applyFill="1" applyBorder="1" applyAlignment="1">
      <alignment horizontal="left"/>
    </xf>
    <xf numFmtId="179" fontId="8" fillId="0" borderId="0" xfId="60" applyFont="1" applyFill="1" applyBorder="1" applyAlignment="1">
      <alignment horizontal="left"/>
    </xf>
    <xf numFmtId="179" fontId="5" fillId="0" borderId="0" xfId="60" applyFont="1" applyFill="1" applyBorder="1" applyAlignment="1">
      <alignment/>
    </xf>
    <xf numFmtId="179" fontId="6" fillId="0" borderId="0" xfId="60" applyFont="1" applyFill="1" applyBorder="1" applyAlignment="1">
      <alignment horizontal="center"/>
    </xf>
    <xf numFmtId="179" fontId="3" fillId="0" borderId="0" xfId="60" applyFont="1" applyFill="1" applyBorder="1" applyAlignment="1">
      <alignment wrapText="1"/>
    </xf>
    <xf numFmtId="179" fontId="6" fillId="0" borderId="0" xfId="60" applyFont="1" applyFill="1" applyBorder="1" applyAlignment="1">
      <alignment horizontal="left"/>
    </xf>
    <xf numFmtId="179" fontId="10" fillId="27" borderId="0" xfId="60" applyFont="1" applyFill="1" applyBorder="1" applyAlignment="1">
      <alignment horizontal="left"/>
    </xf>
    <xf numFmtId="179" fontId="4" fillId="0" borderId="0" xfId="60" applyFont="1" applyFill="1" applyBorder="1" applyAlignment="1">
      <alignment horizontal="left"/>
    </xf>
    <xf numFmtId="179" fontId="8" fillId="26" borderId="0" xfId="60" applyFont="1" applyFill="1" applyBorder="1" applyAlignment="1">
      <alignment horizontal="left"/>
    </xf>
    <xf numFmtId="179" fontId="10" fillId="0" borderId="0" xfId="6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79" fontId="10" fillId="27" borderId="15" xfId="60" applyFont="1" applyFill="1" applyBorder="1" applyAlignment="1">
      <alignment horizontal="left"/>
    </xf>
    <xf numFmtId="0" fontId="63" fillId="0" borderId="12" xfId="0" applyFont="1" applyFill="1" applyBorder="1" applyAlignment="1">
      <alignment horizontal="left"/>
    </xf>
    <xf numFmtId="179" fontId="66" fillId="31" borderId="12" xfId="60" applyFont="1" applyFill="1" applyBorder="1" applyAlignment="1">
      <alignment horizontal="left"/>
    </xf>
    <xf numFmtId="179" fontId="8" fillId="0" borderId="25" xfId="60" applyFont="1" applyBorder="1" applyAlignment="1">
      <alignment horizontal="center" vertical="center"/>
    </xf>
    <xf numFmtId="179" fontId="8" fillId="0" borderId="0" xfId="60" applyFont="1" applyFill="1" applyBorder="1" applyAlignment="1">
      <alignment horizontal="center" vertical="center"/>
    </xf>
    <xf numFmtId="179" fontId="8" fillId="31" borderId="0" xfId="6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1" borderId="0" xfId="0" applyFont="1" applyFill="1" applyBorder="1" applyAlignment="1">
      <alignment horizontal="left" vertical="center"/>
    </xf>
    <xf numFmtId="179" fontId="10" fillId="27" borderId="0" xfId="6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1" fontId="8" fillId="0" borderId="0" xfId="0" applyNumberFormat="1" applyFont="1" applyFill="1" applyBorder="1" applyAlignment="1">
      <alignment horizontal="center" vertical="center"/>
    </xf>
    <xf numFmtId="179" fontId="8" fillId="0" borderId="0" xfId="60" applyFont="1" applyBorder="1" applyAlignment="1">
      <alignment horizontal="center" vertical="center"/>
    </xf>
    <xf numFmtId="179" fontId="5" fillId="0" borderId="0" xfId="60" applyFont="1" applyFill="1" applyBorder="1" applyAlignment="1">
      <alignment horizontal="center" vertical="center"/>
    </xf>
    <xf numFmtId="179" fontId="7" fillId="0" borderId="0" xfId="6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9" fontId="5" fillId="0" borderId="0" xfId="6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9" fontId="7" fillId="0" borderId="0" xfId="60" applyFont="1" applyFill="1" applyBorder="1" applyAlignment="1">
      <alignment horizontal="center" vertical="center"/>
    </xf>
    <xf numFmtId="179" fontId="8" fillId="0" borderId="0" xfId="60" applyFont="1" applyFill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8" fillId="31" borderId="12" xfId="0" applyFont="1" applyFill="1" applyBorder="1" applyAlignment="1">
      <alignment horizontal="left" vertical="center"/>
    </xf>
    <xf numFmtId="2" fontId="8" fillId="31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10" fillId="27" borderId="12" xfId="0" applyNumberFormat="1" applyFont="1" applyFill="1" applyBorder="1" applyAlignment="1">
      <alignment horizontal="center" vertical="center"/>
    </xf>
    <xf numFmtId="43" fontId="8" fillId="0" borderId="12" xfId="0" applyNumberFormat="1" applyFont="1" applyFill="1" applyBorder="1" applyAlignment="1">
      <alignment vertical="center"/>
    </xf>
    <xf numFmtId="0" fontId="65" fillId="0" borderId="12" xfId="0" applyFont="1" applyBorder="1" applyAlignment="1">
      <alignment horizontal="left"/>
    </xf>
    <xf numFmtId="179" fontId="3" fillId="0" borderId="17" xfId="60" applyFont="1" applyBorder="1" applyAlignment="1">
      <alignment horizontal="left"/>
    </xf>
    <xf numFmtId="179" fontId="8" fillId="0" borderId="25" xfId="6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79" fontId="8" fillId="0" borderId="0" xfId="60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9" fontId="3" fillId="0" borderId="0" xfId="6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9" fontId="5" fillId="0" borderId="0" xfId="6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9" fontId="7" fillId="0" borderId="0" xfId="60" applyFont="1" applyFill="1" applyBorder="1" applyAlignment="1">
      <alignment horizontal="left"/>
    </xf>
    <xf numFmtId="179" fontId="7" fillId="0" borderId="0" xfId="6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36" borderId="0" xfId="0" applyFont="1" applyFill="1" applyBorder="1" applyAlignment="1">
      <alignment horizontal="left"/>
    </xf>
    <xf numFmtId="179" fontId="8" fillId="33" borderId="0" xfId="6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79" fontId="10" fillId="34" borderId="0" xfId="60" applyFont="1" applyFill="1" applyBorder="1" applyAlignment="1">
      <alignment horizontal="left"/>
    </xf>
    <xf numFmtId="0" fontId="10" fillId="34" borderId="0" xfId="0" applyFont="1" applyFill="1" applyBorder="1" applyAlignment="1">
      <alignment horizontal="left"/>
    </xf>
    <xf numFmtId="179" fontId="8" fillId="27" borderId="0" xfId="60" applyFont="1" applyFill="1" applyBorder="1" applyAlignment="1">
      <alignment horizontal="left"/>
    </xf>
    <xf numFmtId="0" fontId="8" fillId="27" borderId="0" xfId="0" applyFont="1" applyFill="1" applyBorder="1" applyAlignment="1">
      <alignment horizontal="left"/>
    </xf>
    <xf numFmtId="179" fontId="10" fillId="0" borderId="0" xfId="6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5" fillId="36" borderId="12" xfId="0" applyFont="1" applyFill="1" applyBorder="1" applyAlignment="1">
      <alignment horizontal="left"/>
    </xf>
    <xf numFmtId="0" fontId="10" fillId="25" borderId="12" xfId="0" applyFont="1" applyFill="1" applyBorder="1" applyAlignment="1">
      <alignment horizontal="left"/>
    </xf>
    <xf numFmtId="0" fontId="8" fillId="27" borderId="12" xfId="0" applyFont="1" applyFill="1" applyBorder="1" applyAlignment="1">
      <alignment horizontal="left"/>
    </xf>
    <xf numFmtId="43" fontId="8" fillId="0" borderId="12" xfId="0" applyNumberFormat="1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171" fontId="8" fillId="0" borderId="0" xfId="0" applyNumberFormat="1" applyFont="1" applyAlignment="1" applyProtection="1">
      <alignment/>
      <protection/>
    </xf>
    <xf numFmtId="43" fontId="8" fillId="0" borderId="12" xfId="0" applyNumberFormat="1" applyFont="1" applyFill="1" applyBorder="1" applyAlignment="1" applyProtection="1">
      <alignment/>
      <protection/>
    </xf>
    <xf numFmtId="43" fontId="63" fillId="0" borderId="12" xfId="0" applyNumberFormat="1" applyFont="1" applyFill="1" applyBorder="1" applyAlignment="1" applyProtection="1">
      <alignment/>
      <protection/>
    </xf>
    <xf numFmtId="43" fontId="10" fillId="0" borderId="12" xfId="0" applyNumberFormat="1" applyFont="1" applyFill="1" applyBorder="1" applyAlignment="1" applyProtection="1">
      <alignment/>
      <protection/>
    </xf>
    <xf numFmtId="43" fontId="10" fillId="0" borderId="12" xfId="0" applyNumberFormat="1" applyFont="1" applyBorder="1" applyAlignment="1" applyProtection="1">
      <alignment/>
      <protection/>
    </xf>
    <xf numFmtId="171" fontId="8" fillId="9" borderId="0" xfId="0" applyNumberFormat="1" applyFont="1" applyFill="1" applyAlignment="1" applyProtection="1">
      <alignment/>
      <protection/>
    </xf>
    <xf numFmtId="0" fontId="8" fillId="26" borderId="27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28" xfId="0" applyFont="1" applyFill="1" applyBorder="1" applyAlignment="1">
      <alignment horizontal="center" vertical="center"/>
    </xf>
    <xf numFmtId="2" fontId="63" fillId="26" borderId="27" xfId="0" applyNumberFormat="1" applyFont="1" applyFill="1" applyBorder="1" applyAlignment="1">
      <alignment horizontal="right" vertical="center"/>
    </xf>
    <xf numFmtId="2" fontId="63" fillId="26" borderId="0" xfId="0" applyNumberFormat="1" applyFont="1" applyFill="1" applyBorder="1" applyAlignment="1">
      <alignment horizontal="right" vertical="center"/>
    </xf>
    <xf numFmtId="2" fontId="63" fillId="26" borderId="28" xfId="0" applyNumberFormat="1" applyFont="1" applyFill="1" applyBorder="1" applyAlignment="1">
      <alignment horizontal="right" vertical="center"/>
    </xf>
    <xf numFmtId="2" fontId="63" fillId="26" borderId="29" xfId="0" applyNumberFormat="1" applyFont="1" applyFill="1" applyBorder="1" applyAlignment="1">
      <alignment horizontal="right" vertical="center"/>
    </xf>
    <xf numFmtId="2" fontId="63" fillId="26" borderId="11" xfId="0" applyNumberFormat="1" applyFont="1" applyFill="1" applyBorder="1" applyAlignment="1">
      <alignment horizontal="right" vertical="center"/>
    </xf>
    <xf numFmtId="2" fontId="63" fillId="26" borderId="30" xfId="0" applyNumberFormat="1" applyFont="1" applyFill="1" applyBorder="1" applyAlignment="1">
      <alignment horizontal="right" vertical="center"/>
    </xf>
    <xf numFmtId="179" fontId="8" fillId="26" borderId="27" xfId="60" applyFont="1" applyFill="1" applyBorder="1" applyAlignment="1">
      <alignment horizontal="right" vertical="center"/>
    </xf>
    <xf numFmtId="179" fontId="8" fillId="26" borderId="0" xfId="60" applyFont="1" applyFill="1" applyBorder="1" applyAlignment="1">
      <alignment horizontal="right" vertical="center"/>
    </xf>
    <xf numFmtId="2" fontId="8" fillId="26" borderId="26" xfId="0" applyNumberFormat="1" applyFont="1" applyFill="1" applyBorder="1" applyAlignment="1">
      <alignment horizontal="right" vertical="center"/>
    </xf>
    <xf numFmtId="2" fontId="8" fillId="26" borderId="10" xfId="0" applyNumberFormat="1" applyFont="1" applyFill="1" applyBorder="1" applyAlignment="1">
      <alignment horizontal="right" vertical="center"/>
    </xf>
    <xf numFmtId="2" fontId="8" fillId="26" borderId="24" xfId="0" applyNumberFormat="1" applyFont="1" applyFill="1" applyBorder="1" applyAlignment="1">
      <alignment horizontal="right" vertical="center"/>
    </xf>
    <xf numFmtId="0" fontId="8" fillId="26" borderId="31" xfId="0" applyFont="1" applyFill="1" applyBorder="1" applyAlignment="1">
      <alignment horizontal="center" vertical="center"/>
    </xf>
    <xf numFmtId="0" fontId="8" fillId="26" borderId="32" xfId="0" applyFont="1" applyFill="1" applyBorder="1" applyAlignment="1">
      <alignment horizontal="center" vertical="center"/>
    </xf>
    <xf numFmtId="0" fontId="8" fillId="26" borderId="33" xfId="0" applyFont="1" applyFill="1" applyBorder="1" applyAlignment="1">
      <alignment horizontal="center" vertical="center"/>
    </xf>
    <xf numFmtId="179" fontId="8" fillId="26" borderId="32" xfId="60" applyFont="1" applyFill="1" applyBorder="1" applyAlignment="1">
      <alignment horizontal="right" vertical="center"/>
    </xf>
    <xf numFmtId="2" fontId="8" fillId="26" borderId="31" xfId="0" applyNumberFormat="1" applyFont="1" applyFill="1" applyBorder="1" applyAlignment="1">
      <alignment horizontal="right" vertical="center"/>
    </xf>
    <xf numFmtId="2" fontId="8" fillId="26" borderId="32" xfId="0" applyNumberFormat="1" applyFont="1" applyFill="1" applyBorder="1" applyAlignment="1">
      <alignment horizontal="right" vertical="center"/>
    </xf>
    <xf numFmtId="2" fontId="8" fillId="26" borderId="33" xfId="0" applyNumberFormat="1" applyFont="1" applyFill="1" applyBorder="1" applyAlignment="1">
      <alignment horizontal="right" vertical="center"/>
    </xf>
    <xf numFmtId="179" fontId="8" fillId="26" borderId="33" xfId="60" applyFont="1" applyFill="1" applyBorder="1" applyAlignment="1">
      <alignment horizontal="right" vertical="center"/>
    </xf>
    <xf numFmtId="179" fontId="58" fillId="0" borderId="0" xfId="60" applyFont="1" applyFill="1" applyBorder="1" applyAlignment="1">
      <alignment horizontal="right" vertical="center"/>
    </xf>
    <xf numFmtId="179" fontId="58" fillId="0" borderId="12" xfId="60" applyFont="1" applyFill="1" applyBorder="1" applyAlignment="1">
      <alignment horizontal="center" vertical="center"/>
    </xf>
    <xf numFmtId="179" fontId="58" fillId="0" borderId="11" xfId="0" applyNumberFormat="1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center"/>
    </xf>
    <xf numFmtId="0" fontId="58" fillId="0" borderId="29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30" xfId="0" applyNumberFormat="1" applyFont="1" applyFill="1" applyBorder="1" applyAlignment="1">
      <alignment horizontal="center" vertical="center" wrapText="1"/>
    </xf>
    <xf numFmtId="0" fontId="58" fillId="0" borderId="27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28" xfId="0" applyNumberFormat="1" applyFont="1" applyFill="1" applyBorder="1" applyAlignment="1">
      <alignment horizontal="center" vertical="center" wrapText="1"/>
    </xf>
    <xf numFmtId="0" fontId="58" fillId="0" borderId="31" xfId="0" applyNumberFormat="1" applyFont="1" applyFill="1" applyBorder="1" applyAlignment="1">
      <alignment horizontal="center" vertical="center" wrapText="1"/>
    </xf>
    <xf numFmtId="0" fontId="58" fillId="0" borderId="32" xfId="0" applyNumberFormat="1" applyFont="1" applyFill="1" applyBorder="1" applyAlignment="1">
      <alignment horizontal="center" vertical="center" wrapText="1"/>
    </xf>
    <xf numFmtId="0" fontId="58" fillId="0" borderId="33" xfId="0" applyNumberFormat="1" applyFont="1" applyFill="1" applyBorder="1" applyAlignment="1">
      <alignment horizontal="center" vertical="center" wrapText="1"/>
    </xf>
    <xf numFmtId="0" fontId="58" fillId="0" borderId="26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0" fontId="58" fillId="0" borderId="24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top"/>
    </xf>
    <xf numFmtId="0" fontId="57" fillId="0" borderId="0" xfId="0" applyNumberFormat="1" applyFont="1" applyFill="1" applyBorder="1" applyAlignment="1">
      <alignment horizontal="left" vertical="top" wrapText="1"/>
    </xf>
    <xf numFmtId="0" fontId="67" fillId="0" borderId="0" xfId="0" applyNumberFormat="1" applyFont="1" applyFill="1" applyBorder="1" applyAlignment="1">
      <alignment horizontal="center" wrapText="1"/>
    </xf>
    <xf numFmtId="49" fontId="62" fillId="0" borderId="32" xfId="0" applyNumberFormat="1" applyFont="1" applyFill="1" applyBorder="1" applyAlignment="1">
      <alignment horizontal="center"/>
    </xf>
    <xf numFmtId="0" fontId="62" fillId="0" borderId="0" xfId="0" applyNumberFormat="1" applyFont="1" applyFill="1" applyBorder="1" applyAlignment="1">
      <alignment horizontal="left"/>
    </xf>
    <xf numFmtId="0" fontId="62" fillId="0" borderId="32" xfId="0" applyNumberFormat="1" applyFont="1" applyFill="1" applyBorder="1" applyAlignment="1">
      <alignment horizontal="center"/>
    </xf>
    <xf numFmtId="0" fontId="68" fillId="0" borderId="29" xfId="0" applyNumberFormat="1" applyFont="1" applyFill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27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28" xfId="0" applyNumberFormat="1" applyFont="1" applyFill="1" applyBorder="1" applyAlignment="1">
      <alignment horizontal="center" vertical="center" wrapText="1"/>
    </xf>
    <xf numFmtId="0" fontId="68" fillId="0" borderId="31" xfId="0" applyNumberFormat="1" applyFont="1" applyFill="1" applyBorder="1" applyAlignment="1">
      <alignment horizontal="center" vertical="center" wrapText="1"/>
    </xf>
    <xf numFmtId="0" fontId="68" fillId="0" borderId="32" xfId="0" applyNumberFormat="1" applyFont="1" applyFill="1" applyBorder="1" applyAlignment="1">
      <alignment horizontal="center" vertical="center" wrapText="1"/>
    </xf>
    <xf numFmtId="0" fontId="68" fillId="0" borderId="33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top"/>
    </xf>
    <xf numFmtId="49" fontId="68" fillId="0" borderId="12" xfId="0" applyNumberFormat="1" applyFont="1" applyFill="1" applyBorder="1" applyAlignment="1">
      <alignment horizontal="center" vertical="top"/>
    </xf>
    <xf numFmtId="49" fontId="58" fillId="0" borderId="12" xfId="0" applyNumberFormat="1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left" vertical="center" wrapText="1"/>
    </xf>
    <xf numFmtId="2" fontId="58" fillId="0" borderId="12" xfId="0" applyNumberFormat="1" applyFont="1" applyFill="1" applyBorder="1" applyAlignment="1">
      <alignment horizontal="center" vertical="center"/>
    </xf>
    <xf numFmtId="179" fontId="68" fillId="0" borderId="12" xfId="60" applyFont="1" applyFill="1" applyBorder="1" applyAlignment="1">
      <alignment horizontal="center" vertical="center"/>
    </xf>
    <xf numFmtId="179" fontId="58" fillId="0" borderId="26" xfId="60" applyFont="1" applyFill="1" applyBorder="1" applyAlignment="1">
      <alignment horizontal="center" vertical="center"/>
    </xf>
    <xf numFmtId="179" fontId="58" fillId="0" borderId="10" xfId="60" applyFont="1" applyFill="1" applyBorder="1" applyAlignment="1">
      <alignment horizontal="center" vertical="center"/>
    </xf>
    <xf numFmtId="179" fontId="58" fillId="0" borderId="24" xfId="60" applyFont="1" applyFill="1" applyBorder="1" applyAlignment="1">
      <alignment horizontal="center" vertical="center"/>
    </xf>
    <xf numFmtId="179" fontId="58" fillId="27" borderId="12" xfId="60" applyFont="1" applyFill="1" applyBorder="1" applyAlignment="1">
      <alignment horizontal="center" vertical="center"/>
    </xf>
    <xf numFmtId="179" fontId="68" fillId="27" borderId="12" xfId="60" applyFont="1" applyFill="1" applyBorder="1" applyAlignment="1">
      <alignment horizontal="center" vertical="center"/>
    </xf>
    <xf numFmtId="49" fontId="58" fillId="27" borderId="26" xfId="0" applyNumberFormat="1" applyFont="1" applyFill="1" applyBorder="1" applyAlignment="1">
      <alignment horizontal="right" vertical="center"/>
    </xf>
    <xf numFmtId="49" fontId="58" fillId="27" borderId="10" xfId="0" applyNumberFormat="1" applyFont="1" applyFill="1" applyBorder="1" applyAlignment="1">
      <alignment horizontal="right" vertical="center"/>
    </xf>
    <xf numFmtId="49" fontId="58" fillId="27" borderId="24" xfId="0" applyNumberFormat="1" applyFont="1" applyFill="1" applyBorder="1" applyAlignment="1">
      <alignment horizontal="right" vertical="center"/>
    </xf>
    <xf numFmtId="186" fontId="58" fillId="27" borderId="12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49" fontId="5" fillId="0" borderId="32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3" fillId="0" borderId="31" xfId="0" applyFont="1" applyBorder="1" applyAlignment="1">
      <alignment horizontal="left"/>
    </xf>
    <xf numFmtId="0" fontId="63" fillId="0" borderId="32" xfId="0" applyFont="1" applyBorder="1" applyAlignment="1">
      <alignment horizontal="left"/>
    </xf>
    <xf numFmtId="0" fontId="63" fillId="0" borderId="33" xfId="0" applyFont="1" applyBorder="1" applyAlignment="1">
      <alignment horizontal="left"/>
    </xf>
    <xf numFmtId="0" fontId="63" fillId="0" borderId="31" xfId="0" applyFont="1" applyBorder="1" applyAlignment="1">
      <alignment horizontal="right"/>
    </xf>
    <xf numFmtId="0" fontId="63" fillId="0" borderId="32" xfId="0" applyFont="1" applyBorder="1" applyAlignment="1">
      <alignment horizontal="right"/>
    </xf>
    <xf numFmtId="0" fontId="63" fillId="0" borderId="33" xfId="0" applyFont="1" applyBorder="1" applyAlignment="1">
      <alignment horizontal="right"/>
    </xf>
    <xf numFmtId="179" fontId="8" fillId="0" borderId="31" xfId="60" applyFont="1" applyBorder="1" applyAlignment="1">
      <alignment horizontal="right"/>
    </xf>
    <xf numFmtId="179" fontId="8" fillId="0" borderId="32" xfId="60" applyFont="1" applyBorder="1" applyAlignment="1">
      <alignment horizontal="right"/>
    </xf>
    <xf numFmtId="179" fontId="8" fillId="0" borderId="33" xfId="60" applyFont="1" applyBorder="1" applyAlignment="1">
      <alignment horizontal="right"/>
    </xf>
    <xf numFmtId="0" fontId="10" fillId="27" borderId="31" xfId="0" applyFont="1" applyFill="1" applyBorder="1" applyAlignment="1">
      <alignment horizontal="center"/>
    </xf>
    <xf numFmtId="0" fontId="10" fillId="27" borderId="32" xfId="0" applyFont="1" applyFill="1" applyBorder="1" applyAlignment="1">
      <alignment horizontal="center"/>
    </xf>
    <xf numFmtId="0" fontId="10" fillId="27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9" fontId="8" fillId="26" borderId="31" xfId="60" applyFont="1" applyFill="1" applyBorder="1" applyAlignment="1">
      <alignment horizontal="right"/>
    </xf>
    <xf numFmtId="179" fontId="8" fillId="26" borderId="32" xfId="60" applyFont="1" applyFill="1" applyBorder="1" applyAlignment="1">
      <alignment horizontal="right"/>
    </xf>
    <xf numFmtId="179" fontId="10" fillId="27" borderId="31" xfId="60" applyFont="1" applyFill="1" applyBorder="1" applyAlignment="1">
      <alignment horizontal="right"/>
    </xf>
    <xf numFmtId="179" fontId="10" fillId="27" borderId="32" xfId="60" applyFont="1" applyFill="1" applyBorder="1" applyAlignment="1">
      <alignment horizontal="right"/>
    </xf>
    <xf numFmtId="0" fontId="8" fillId="26" borderId="31" xfId="0" applyFont="1" applyFill="1" applyBorder="1" applyAlignment="1">
      <alignment horizontal="left"/>
    </xf>
    <xf numFmtId="0" fontId="8" fillId="26" borderId="32" xfId="0" applyFont="1" applyFill="1" applyBorder="1" applyAlignment="1">
      <alignment horizontal="left"/>
    </xf>
    <xf numFmtId="0" fontId="8" fillId="26" borderId="33" xfId="0" applyFont="1" applyFill="1" applyBorder="1" applyAlignment="1">
      <alignment horizontal="left"/>
    </xf>
    <xf numFmtId="0" fontId="8" fillId="26" borderId="31" xfId="0" applyFont="1" applyFill="1" applyBorder="1" applyAlignment="1">
      <alignment horizontal="right"/>
    </xf>
    <xf numFmtId="0" fontId="8" fillId="26" borderId="32" xfId="0" applyFont="1" applyFill="1" applyBorder="1" applyAlignment="1">
      <alignment horizontal="right"/>
    </xf>
    <xf numFmtId="0" fontId="8" fillId="26" borderId="33" xfId="0" applyFont="1" applyFill="1" applyBorder="1" applyAlignment="1">
      <alignment horizontal="right"/>
    </xf>
    <xf numFmtId="179" fontId="10" fillId="27" borderId="33" xfId="60" applyFont="1" applyFill="1" applyBorder="1" applyAlignment="1">
      <alignment horizontal="right"/>
    </xf>
    <xf numFmtId="179" fontId="63" fillId="0" borderId="31" xfId="60" applyFont="1" applyBorder="1" applyAlignment="1">
      <alignment horizontal="right"/>
    </xf>
    <xf numFmtId="179" fontId="63" fillId="0" borderId="32" xfId="60" applyFont="1" applyBorder="1" applyAlignment="1">
      <alignment horizontal="right"/>
    </xf>
    <xf numFmtId="179" fontId="63" fillId="0" borderId="33" xfId="6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9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30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10" xfId="0" applyFont="1" applyBorder="1" applyAlignment="1">
      <alignment horizontal="left" indent="1"/>
    </xf>
    <xf numFmtId="0" fontId="8" fillId="0" borderId="24" xfId="0" applyFont="1" applyBorder="1" applyAlignment="1">
      <alignment horizontal="left" indent="1"/>
    </xf>
    <xf numFmtId="0" fontId="8" fillId="0" borderId="31" xfId="0" applyFont="1" applyBorder="1" applyAlignment="1">
      <alignment horizontal="left" indent="1"/>
    </xf>
    <xf numFmtId="0" fontId="8" fillId="0" borderId="32" xfId="0" applyFont="1" applyBorder="1" applyAlignment="1">
      <alignment horizontal="left" indent="1"/>
    </xf>
    <xf numFmtId="0" fontId="8" fillId="0" borderId="33" xfId="0" applyFont="1" applyBorder="1" applyAlignment="1">
      <alignment horizontal="left" indent="1"/>
    </xf>
    <xf numFmtId="0" fontId="8" fillId="0" borderId="2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2" fontId="8" fillId="0" borderId="29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0" borderId="27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28" xfId="0" applyFont="1" applyBorder="1" applyAlignment="1">
      <alignment horizontal="left" indent="1"/>
    </xf>
    <xf numFmtId="0" fontId="8" fillId="0" borderId="2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0" fillId="27" borderId="26" xfId="0" applyFont="1" applyFill="1" applyBorder="1" applyAlignment="1">
      <alignment horizontal="center"/>
    </xf>
    <xf numFmtId="0" fontId="10" fillId="27" borderId="10" xfId="0" applyFont="1" applyFill="1" applyBorder="1" applyAlignment="1">
      <alignment horizontal="center"/>
    </xf>
    <xf numFmtId="0" fontId="10" fillId="27" borderId="24" xfId="0" applyFont="1" applyFill="1" applyBorder="1" applyAlignment="1">
      <alignment horizontal="center"/>
    </xf>
    <xf numFmtId="0" fontId="10" fillId="27" borderId="26" xfId="0" applyFont="1" applyFill="1" applyBorder="1" applyAlignment="1">
      <alignment horizontal="right"/>
    </xf>
    <xf numFmtId="0" fontId="10" fillId="27" borderId="10" xfId="0" applyFont="1" applyFill="1" applyBorder="1" applyAlignment="1">
      <alignment horizontal="right"/>
    </xf>
    <xf numFmtId="0" fontId="10" fillId="27" borderId="24" xfId="0" applyFont="1" applyFill="1" applyBorder="1" applyAlignment="1">
      <alignment horizontal="right"/>
    </xf>
    <xf numFmtId="179" fontId="10" fillId="27" borderId="26" xfId="60" applyFont="1" applyFill="1" applyBorder="1" applyAlignment="1">
      <alignment horizontal="right"/>
    </xf>
    <xf numFmtId="179" fontId="10" fillId="27" borderId="10" xfId="60" applyFont="1" applyFill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0" fillId="27" borderId="31" xfId="0" applyFont="1" applyFill="1" applyBorder="1" applyAlignment="1">
      <alignment horizontal="left"/>
    </xf>
    <xf numFmtId="0" fontId="10" fillId="27" borderId="32" xfId="0" applyFont="1" applyFill="1" applyBorder="1" applyAlignment="1">
      <alignment horizontal="left"/>
    </xf>
    <xf numFmtId="0" fontId="10" fillId="27" borderId="33" xfId="0" applyFont="1" applyFill="1" applyBorder="1" applyAlignment="1">
      <alignment horizontal="left"/>
    </xf>
    <xf numFmtId="10" fontId="8" fillId="0" borderId="26" xfId="0" applyNumberFormat="1" applyFont="1" applyBorder="1" applyAlignment="1">
      <alignment horizontal="right"/>
    </xf>
    <xf numFmtId="10" fontId="8" fillId="0" borderId="10" xfId="0" applyNumberFormat="1" applyFont="1" applyBorder="1" applyAlignment="1">
      <alignment horizontal="right"/>
    </xf>
    <xf numFmtId="10" fontId="8" fillId="0" borderId="24" xfId="0" applyNumberFormat="1" applyFont="1" applyBorder="1" applyAlignment="1">
      <alignment horizontal="right"/>
    </xf>
    <xf numFmtId="49" fontId="65" fillId="0" borderId="32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3" fillId="0" borderId="26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63" fillId="0" borderId="24" xfId="0" applyFont="1" applyBorder="1" applyAlignment="1">
      <alignment horizontal="left"/>
    </xf>
    <xf numFmtId="0" fontId="63" fillId="0" borderId="26" xfId="0" applyFont="1" applyBorder="1" applyAlignment="1">
      <alignment horizontal="right"/>
    </xf>
    <xf numFmtId="0" fontId="63" fillId="0" borderId="10" xfId="0" applyFont="1" applyBorder="1" applyAlignment="1">
      <alignment horizontal="right"/>
    </xf>
    <xf numFmtId="0" fontId="63" fillId="0" borderId="24" xfId="0" applyFont="1" applyBorder="1" applyAlignment="1">
      <alignment horizontal="right"/>
    </xf>
    <xf numFmtId="179" fontId="63" fillId="0" borderId="26" xfId="60" applyFont="1" applyBorder="1" applyAlignment="1">
      <alignment horizontal="right"/>
    </xf>
    <xf numFmtId="179" fontId="63" fillId="0" borderId="10" xfId="60" applyFont="1" applyBorder="1" applyAlignment="1">
      <alignment horizontal="right"/>
    </xf>
    <xf numFmtId="179" fontId="63" fillId="0" borderId="24" xfId="60" applyFont="1" applyBorder="1" applyAlignment="1">
      <alignment horizontal="right"/>
    </xf>
    <xf numFmtId="10" fontId="63" fillId="0" borderId="26" xfId="0" applyNumberFormat="1" applyFont="1" applyBorder="1" applyAlignment="1">
      <alignment horizontal="right"/>
    </xf>
    <xf numFmtId="10" fontId="63" fillId="0" borderId="10" xfId="0" applyNumberFormat="1" applyFont="1" applyBorder="1" applyAlignment="1">
      <alignment horizontal="right"/>
    </xf>
    <xf numFmtId="10" fontId="63" fillId="0" borderId="24" xfId="0" applyNumberFormat="1" applyFont="1" applyBorder="1" applyAlignment="1">
      <alignment horizontal="right"/>
    </xf>
    <xf numFmtId="0" fontId="8" fillId="0" borderId="3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179" fontId="8" fillId="0" borderId="31" xfId="60" applyFont="1" applyFill="1" applyBorder="1" applyAlignment="1">
      <alignment horizontal="right"/>
    </xf>
    <xf numFmtId="179" fontId="8" fillId="0" borderId="32" xfId="60" applyFont="1" applyFill="1" applyBorder="1" applyAlignment="1">
      <alignment horizontal="right"/>
    </xf>
    <xf numFmtId="179" fontId="8" fillId="0" borderId="33" xfId="60" applyFont="1" applyFill="1" applyBorder="1" applyAlignment="1">
      <alignment horizontal="right"/>
    </xf>
    <xf numFmtId="2" fontId="10" fillId="25" borderId="31" xfId="0" applyNumberFormat="1" applyFont="1" applyFill="1" applyBorder="1" applyAlignment="1">
      <alignment horizontal="right"/>
    </xf>
    <xf numFmtId="2" fontId="10" fillId="25" borderId="32" xfId="0" applyNumberFormat="1" applyFont="1" applyFill="1" applyBorder="1" applyAlignment="1">
      <alignment horizontal="right"/>
    </xf>
    <xf numFmtId="2" fontId="10" fillId="25" borderId="33" xfId="0" applyNumberFormat="1" applyFont="1" applyFill="1" applyBorder="1" applyAlignment="1">
      <alignment horizontal="right"/>
    </xf>
    <xf numFmtId="2" fontId="8" fillId="0" borderId="31" xfId="0" applyNumberFormat="1" applyFont="1" applyFill="1" applyBorder="1" applyAlignment="1">
      <alignment horizontal="right"/>
    </xf>
    <xf numFmtId="2" fontId="8" fillId="0" borderId="32" xfId="0" applyNumberFormat="1" applyFont="1" applyFill="1" applyBorder="1" applyAlignment="1">
      <alignment horizontal="right"/>
    </xf>
    <xf numFmtId="2" fontId="8" fillId="0" borderId="33" xfId="0" applyNumberFormat="1" applyFont="1" applyFill="1" applyBorder="1" applyAlignment="1">
      <alignment horizontal="right"/>
    </xf>
    <xf numFmtId="2" fontId="8" fillId="0" borderId="26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0" fontId="10" fillId="25" borderId="31" xfId="0" applyFont="1" applyFill="1" applyBorder="1" applyAlignment="1">
      <alignment horizontal="left"/>
    </xf>
    <xf numFmtId="0" fontId="10" fillId="25" borderId="32" xfId="0" applyFont="1" applyFill="1" applyBorder="1" applyAlignment="1">
      <alignment horizontal="left"/>
    </xf>
    <xf numFmtId="0" fontId="10" fillId="25" borderId="33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2" xfId="0" applyFont="1" applyFill="1" applyBorder="1" applyAlignment="1">
      <alignment horizontal="left"/>
    </xf>
    <xf numFmtId="0" fontId="8" fillId="33" borderId="33" xfId="0" applyFont="1" applyFill="1" applyBorder="1" applyAlignment="1">
      <alignment horizontal="left"/>
    </xf>
    <xf numFmtId="179" fontId="8" fillId="0" borderId="26" xfId="60" applyFont="1" applyFill="1" applyBorder="1" applyAlignment="1">
      <alignment horizontal="right"/>
    </xf>
    <xf numFmtId="179" fontId="8" fillId="0" borderId="10" xfId="60" applyFont="1" applyFill="1" applyBorder="1" applyAlignment="1">
      <alignment horizontal="right"/>
    </xf>
    <xf numFmtId="179" fontId="8" fillId="0" borderId="24" xfId="60" applyFont="1" applyFill="1" applyBorder="1" applyAlignment="1">
      <alignment horizontal="right"/>
    </xf>
    <xf numFmtId="0" fontId="65" fillId="0" borderId="32" xfId="0" applyFont="1" applyBorder="1" applyAlignment="1">
      <alignment horizontal="center" wrapText="1"/>
    </xf>
    <xf numFmtId="179" fontId="8" fillId="33" borderId="26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8" fillId="0" borderId="26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179" fontId="10" fillId="25" borderId="31" xfId="60" applyFont="1" applyFill="1" applyBorder="1" applyAlignment="1">
      <alignment horizontal="right"/>
    </xf>
    <xf numFmtId="179" fontId="10" fillId="25" borderId="32" xfId="60" applyFont="1" applyFill="1" applyBorder="1" applyAlignment="1">
      <alignment horizontal="right"/>
    </xf>
    <xf numFmtId="179" fontId="10" fillId="25" borderId="33" xfId="60" applyFont="1" applyFill="1" applyBorder="1" applyAlignment="1">
      <alignment horizontal="right"/>
    </xf>
    <xf numFmtId="2" fontId="10" fillId="25" borderId="26" xfId="0" applyNumberFormat="1" applyFont="1" applyFill="1" applyBorder="1" applyAlignment="1">
      <alignment horizontal="right"/>
    </xf>
    <xf numFmtId="2" fontId="10" fillId="25" borderId="10" xfId="0" applyNumberFormat="1" applyFont="1" applyFill="1" applyBorder="1" applyAlignment="1">
      <alignment horizontal="right"/>
    </xf>
    <xf numFmtId="2" fontId="10" fillId="25" borderId="24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27" borderId="26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0" fontId="8" fillId="27" borderId="24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right"/>
    </xf>
    <xf numFmtId="2" fontId="8" fillId="33" borderId="24" xfId="0" applyNumberFormat="1" applyFont="1" applyFill="1" applyBorder="1" applyAlignment="1">
      <alignment horizontal="right"/>
    </xf>
    <xf numFmtId="179" fontId="8" fillId="33" borderId="31" xfId="60" applyFont="1" applyFill="1" applyBorder="1" applyAlignment="1">
      <alignment horizontal="right"/>
    </xf>
    <xf numFmtId="179" fontId="8" fillId="33" borderId="32" xfId="60" applyFont="1" applyFill="1" applyBorder="1" applyAlignment="1">
      <alignment horizontal="right"/>
    </xf>
    <xf numFmtId="179" fontId="8" fillId="33" borderId="33" xfId="60" applyFont="1" applyFill="1" applyBorder="1" applyAlignment="1">
      <alignment horizontal="right"/>
    </xf>
    <xf numFmtId="2" fontId="8" fillId="33" borderId="31" xfId="0" applyNumberFormat="1" applyFont="1" applyFill="1" applyBorder="1" applyAlignment="1">
      <alignment horizontal="right"/>
    </xf>
    <xf numFmtId="2" fontId="8" fillId="33" borderId="32" xfId="0" applyNumberFormat="1" applyFont="1" applyFill="1" applyBorder="1" applyAlignment="1">
      <alignment horizontal="right"/>
    </xf>
    <xf numFmtId="2" fontId="8" fillId="33" borderId="33" xfId="0" applyNumberFormat="1" applyFont="1" applyFill="1" applyBorder="1" applyAlignment="1">
      <alignment horizontal="right"/>
    </xf>
    <xf numFmtId="0" fontId="8" fillId="27" borderId="26" xfId="0" applyFont="1" applyFill="1" applyBorder="1" applyAlignment="1">
      <alignment horizontal="right"/>
    </xf>
    <xf numFmtId="0" fontId="8" fillId="27" borderId="10" xfId="0" applyFont="1" applyFill="1" applyBorder="1" applyAlignment="1">
      <alignment horizontal="right"/>
    </xf>
    <xf numFmtId="0" fontId="8" fillId="27" borderId="24" xfId="0" applyFont="1" applyFill="1" applyBorder="1" applyAlignment="1">
      <alignment horizontal="right"/>
    </xf>
    <xf numFmtId="0" fontId="5" fillId="29" borderId="0" xfId="0" applyFont="1" applyFill="1" applyAlignment="1">
      <alignment horizontal="center"/>
    </xf>
    <xf numFmtId="179" fontId="8" fillId="27" borderId="31" xfId="60" applyFont="1" applyFill="1" applyBorder="1" applyAlignment="1">
      <alignment horizontal="right"/>
    </xf>
    <xf numFmtId="179" fontId="8" fillId="27" borderId="32" xfId="60" applyFont="1" applyFill="1" applyBorder="1" applyAlignment="1">
      <alignment horizontal="right"/>
    </xf>
    <xf numFmtId="0" fontId="8" fillId="27" borderId="31" xfId="0" applyFont="1" applyFill="1" applyBorder="1" applyAlignment="1">
      <alignment horizontal="left"/>
    </xf>
    <xf numFmtId="0" fontId="8" fillId="27" borderId="32" xfId="0" applyFont="1" applyFill="1" applyBorder="1" applyAlignment="1">
      <alignment horizontal="left"/>
    </xf>
    <xf numFmtId="0" fontId="8" fillId="27" borderId="33" xfId="0" applyFont="1" applyFill="1" applyBorder="1" applyAlignment="1">
      <alignment horizontal="left"/>
    </xf>
    <xf numFmtId="2" fontId="8" fillId="0" borderId="31" xfId="0" applyNumberFormat="1" applyFont="1" applyFill="1" applyBorder="1" applyAlignment="1">
      <alignment horizontal="right" vertical="center"/>
    </xf>
    <xf numFmtId="2" fontId="8" fillId="0" borderId="32" xfId="0" applyNumberFormat="1" applyFont="1" applyFill="1" applyBorder="1" applyAlignment="1">
      <alignment horizontal="right" vertical="center"/>
    </xf>
    <xf numFmtId="2" fontId="8" fillId="0" borderId="33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79" fontId="8" fillId="0" borderId="26" xfId="60" applyFont="1" applyFill="1" applyBorder="1" applyAlignment="1">
      <alignment horizontal="center"/>
    </xf>
    <xf numFmtId="179" fontId="8" fillId="0" borderId="10" xfId="60" applyFont="1" applyFill="1" applyBorder="1" applyAlignment="1">
      <alignment horizontal="center"/>
    </xf>
    <xf numFmtId="179" fontId="8" fillId="0" borderId="24" xfId="6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179" fontId="8" fillId="0" borderId="26" xfId="60" applyFont="1" applyFill="1" applyBorder="1" applyAlignment="1">
      <alignment horizontal="center" vertical="center"/>
    </xf>
    <xf numFmtId="179" fontId="8" fillId="0" borderId="10" xfId="60" applyFont="1" applyFill="1" applyBorder="1" applyAlignment="1">
      <alignment horizontal="center" vertical="center"/>
    </xf>
    <xf numFmtId="179" fontId="8" fillId="0" borderId="24" xfId="60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right"/>
    </xf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26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/>
    </xf>
    <xf numFmtId="2" fontId="5" fillId="0" borderId="32" xfId="0" applyNumberFormat="1" applyFont="1" applyBorder="1" applyAlignment="1">
      <alignment horizontal="left" wrapText="1"/>
    </xf>
    <xf numFmtId="0" fontId="8" fillId="0" borderId="2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4" fontId="69" fillId="26" borderId="26" xfId="0" applyNumberFormat="1" applyFont="1" applyFill="1" applyBorder="1" applyAlignment="1">
      <alignment horizontal="right"/>
    </xf>
    <xf numFmtId="4" fontId="69" fillId="26" borderId="10" xfId="0" applyNumberFormat="1" applyFont="1" applyFill="1" applyBorder="1" applyAlignment="1">
      <alignment horizontal="right"/>
    </xf>
    <xf numFmtId="4" fontId="69" fillId="26" borderId="24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24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8" fillId="0" borderId="2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10" fillId="27" borderId="34" xfId="0" applyFont="1" applyFill="1" applyBorder="1" applyAlignment="1">
      <alignment horizontal="center"/>
    </xf>
    <xf numFmtId="0" fontId="10" fillId="27" borderId="35" xfId="0" applyFont="1" applyFill="1" applyBorder="1" applyAlignment="1">
      <alignment horizontal="center"/>
    </xf>
    <xf numFmtId="0" fontId="10" fillId="27" borderId="36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27" borderId="34" xfId="0" applyFont="1" applyFill="1" applyBorder="1" applyAlignment="1">
      <alignment horizontal="left"/>
    </xf>
    <xf numFmtId="0" fontId="10" fillId="27" borderId="35" xfId="0" applyFont="1" applyFill="1" applyBorder="1" applyAlignment="1">
      <alignment horizontal="left"/>
    </xf>
    <xf numFmtId="0" fontId="10" fillId="27" borderId="36" xfId="0" applyFont="1" applyFill="1" applyBorder="1" applyAlignment="1">
      <alignment horizontal="left"/>
    </xf>
    <xf numFmtId="179" fontId="10" fillId="27" borderId="34" xfId="60" applyFont="1" applyFill="1" applyBorder="1" applyAlignment="1">
      <alignment horizontal="right"/>
    </xf>
    <xf numFmtId="179" fontId="10" fillId="27" borderId="35" xfId="60" applyFont="1" applyFill="1" applyBorder="1" applyAlignment="1">
      <alignment horizontal="right"/>
    </xf>
    <xf numFmtId="179" fontId="8" fillId="0" borderId="26" xfId="60" applyFont="1" applyFill="1" applyBorder="1" applyAlignment="1">
      <alignment horizontal="right" vertical="center"/>
    </xf>
    <xf numFmtId="179" fontId="8" fillId="0" borderId="10" xfId="60" applyFont="1" applyFill="1" applyBorder="1" applyAlignment="1">
      <alignment horizontal="right" vertical="center"/>
    </xf>
    <xf numFmtId="179" fontId="8" fillId="0" borderId="24" xfId="60" applyFont="1" applyFill="1" applyBorder="1" applyAlignment="1">
      <alignment horizontal="right" vertical="center"/>
    </xf>
    <xf numFmtId="0" fontId="10" fillId="27" borderId="34" xfId="0" applyFont="1" applyFill="1" applyBorder="1" applyAlignment="1">
      <alignment horizontal="right"/>
    </xf>
    <xf numFmtId="0" fontId="10" fillId="27" borderId="35" xfId="0" applyFont="1" applyFill="1" applyBorder="1" applyAlignment="1">
      <alignment horizontal="right"/>
    </xf>
    <xf numFmtId="0" fontId="10" fillId="27" borderId="36" xfId="0" applyFont="1" applyFill="1" applyBorder="1" applyAlignment="1">
      <alignment horizontal="right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58" fillId="26" borderId="26" xfId="0" applyFont="1" applyFill="1" applyBorder="1" applyAlignment="1">
      <alignment horizontal="left" vertical="center"/>
    </xf>
    <xf numFmtId="0" fontId="58" fillId="26" borderId="10" xfId="0" applyFont="1" applyFill="1" applyBorder="1" applyAlignment="1">
      <alignment horizontal="left" vertical="center"/>
    </xf>
    <xf numFmtId="0" fontId="58" fillId="26" borderId="24" xfId="0" applyFont="1" applyFill="1" applyBorder="1" applyAlignment="1">
      <alignment horizontal="left" vertical="center"/>
    </xf>
    <xf numFmtId="2" fontId="63" fillId="0" borderId="26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0" borderId="24" xfId="0" applyNumberFormat="1" applyFont="1" applyFill="1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2" fontId="14" fillId="26" borderId="31" xfId="0" applyNumberFormat="1" applyFont="1" applyFill="1" applyBorder="1" applyAlignment="1">
      <alignment horizontal="right" vertical="center"/>
    </xf>
    <xf numFmtId="2" fontId="14" fillId="26" borderId="32" xfId="0" applyNumberFormat="1" applyFont="1" applyFill="1" applyBorder="1" applyAlignment="1">
      <alignment horizontal="right" vertical="center"/>
    </xf>
    <xf numFmtId="2" fontId="14" fillId="26" borderId="33" xfId="0" applyNumberFormat="1" applyFont="1" applyFill="1" applyBorder="1" applyAlignment="1">
      <alignment horizontal="right" vertical="center"/>
    </xf>
    <xf numFmtId="179" fontId="8" fillId="26" borderId="31" xfId="60" applyFont="1" applyFill="1" applyBorder="1" applyAlignment="1">
      <alignment horizontal="right" vertical="center"/>
    </xf>
    <xf numFmtId="179" fontId="8" fillId="26" borderId="32" xfId="60" applyFont="1" applyFill="1" applyBorder="1" applyAlignment="1">
      <alignment horizontal="right" vertical="center"/>
    </xf>
    <xf numFmtId="179" fontId="8" fillId="26" borderId="33" xfId="60" applyFont="1" applyFill="1" applyBorder="1" applyAlignment="1">
      <alignment horizontal="right" vertical="center"/>
    </xf>
    <xf numFmtId="0" fontId="8" fillId="26" borderId="31" xfId="0" applyFont="1" applyFill="1" applyBorder="1" applyAlignment="1">
      <alignment horizontal="center" vertical="center"/>
    </xf>
    <xf numFmtId="0" fontId="8" fillId="26" borderId="32" xfId="0" applyFont="1" applyFill="1" applyBorder="1" applyAlignment="1">
      <alignment horizontal="center" vertical="center"/>
    </xf>
    <xf numFmtId="0" fontId="8" fillId="26" borderId="33" xfId="0" applyFont="1" applyFill="1" applyBorder="1" applyAlignment="1">
      <alignment horizontal="center" vertical="center"/>
    </xf>
    <xf numFmtId="0" fontId="8" fillId="26" borderId="31" xfId="0" applyFont="1" applyFill="1" applyBorder="1" applyAlignment="1">
      <alignment horizontal="left" vertical="center" wrapText="1"/>
    </xf>
    <xf numFmtId="0" fontId="8" fillId="26" borderId="32" xfId="0" applyFont="1" applyFill="1" applyBorder="1" applyAlignment="1">
      <alignment horizontal="left" vertical="center" wrapText="1"/>
    </xf>
    <xf numFmtId="0" fontId="8" fillId="26" borderId="33" xfId="0" applyFont="1" applyFill="1" applyBorder="1" applyAlignment="1">
      <alignment horizontal="left" vertical="center" wrapText="1"/>
    </xf>
    <xf numFmtId="2" fontId="63" fillId="26" borderId="31" xfId="0" applyNumberFormat="1" applyFont="1" applyFill="1" applyBorder="1" applyAlignment="1">
      <alignment horizontal="right" vertical="center"/>
    </xf>
    <xf numFmtId="2" fontId="63" fillId="26" borderId="32" xfId="0" applyNumberFormat="1" applyFont="1" applyFill="1" applyBorder="1" applyAlignment="1">
      <alignment horizontal="right" vertical="center"/>
    </xf>
    <xf numFmtId="2" fontId="63" fillId="26" borderId="33" xfId="0" applyNumberFormat="1" applyFont="1" applyFill="1" applyBorder="1" applyAlignment="1">
      <alignment horizontal="right" vertical="center"/>
    </xf>
    <xf numFmtId="2" fontId="63" fillId="26" borderId="26" xfId="0" applyNumberFormat="1" applyFont="1" applyFill="1" applyBorder="1" applyAlignment="1">
      <alignment horizontal="right" vertical="center"/>
    </xf>
    <xf numFmtId="2" fontId="63" fillId="26" borderId="10" xfId="0" applyNumberFormat="1" applyFont="1" applyFill="1" applyBorder="1" applyAlignment="1">
      <alignment horizontal="right" vertical="center"/>
    </xf>
    <xf numFmtId="2" fontId="63" fillId="26" borderId="24" xfId="0" applyNumberFormat="1" applyFont="1" applyFill="1" applyBorder="1" applyAlignment="1">
      <alignment horizontal="right" vertical="center"/>
    </xf>
    <xf numFmtId="179" fontId="63" fillId="26" borderId="31" xfId="60" applyFont="1" applyFill="1" applyBorder="1" applyAlignment="1">
      <alignment horizontal="right" vertical="center"/>
    </xf>
    <xf numFmtId="179" fontId="63" fillId="26" borderId="32" xfId="60" applyFont="1" applyFill="1" applyBorder="1" applyAlignment="1">
      <alignment horizontal="right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left" vertical="center"/>
    </xf>
    <xf numFmtId="0" fontId="63" fillId="0" borderId="32" xfId="0" applyFont="1" applyFill="1" applyBorder="1" applyAlignment="1">
      <alignment horizontal="left" vertical="center"/>
    </xf>
    <xf numFmtId="0" fontId="63" fillId="0" borderId="33" xfId="0" applyFont="1" applyFill="1" applyBorder="1" applyAlignment="1">
      <alignment horizontal="left" vertical="center"/>
    </xf>
    <xf numFmtId="2" fontId="63" fillId="0" borderId="31" xfId="0" applyNumberFormat="1" applyFont="1" applyFill="1" applyBorder="1" applyAlignment="1">
      <alignment horizontal="right" vertical="center"/>
    </xf>
    <xf numFmtId="2" fontId="63" fillId="0" borderId="32" xfId="0" applyNumberFormat="1" applyFont="1" applyFill="1" applyBorder="1" applyAlignment="1">
      <alignment horizontal="right" vertical="center"/>
    </xf>
    <xf numFmtId="2" fontId="63" fillId="0" borderId="33" xfId="0" applyNumberFormat="1" applyFont="1" applyFill="1" applyBorder="1" applyAlignment="1">
      <alignment horizontal="right" vertical="center"/>
    </xf>
    <xf numFmtId="2" fontId="63" fillId="0" borderId="26" xfId="0" applyNumberFormat="1" applyFont="1" applyFill="1" applyBorder="1" applyAlignment="1">
      <alignment horizontal="right" vertical="center"/>
    </xf>
    <xf numFmtId="2" fontId="63" fillId="0" borderId="10" xfId="0" applyNumberFormat="1" applyFont="1" applyFill="1" applyBorder="1" applyAlignment="1">
      <alignment horizontal="right" vertical="center"/>
    </xf>
    <xf numFmtId="2" fontId="63" fillId="0" borderId="24" xfId="0" applyNumberFormat="1" applyFont="1" applyFill="1" applyBorder="1" applyAlignment="1">
      <alignment horizontal="right" vertical="center"/>
    </xf>
    <xf numFmtId="2" fontId="8" fillId="26" borderId="26" xfId="0" applyNumberFormat="1" applyFont="1" applyFill="1" applyBorder="1" applyAlignment="1">
      <alignment horizontal="right" vertical="center"/>
    </xf>
    <xf numFmtId="2" fontId="8" fillId="26" borderId="10" xfId="0" applyNumberFormat="1" applyFont="1" applyFill="1" applyBorder="1" applyAlignment="1">
      <alignment horizontal="right" vertical="center"/>
    </xf>
    <xf numFmtId="2" fontId="8" fillId="26" borderId="24" xfId="0" applyNumberFormat="1" applyFont="1" applyFill="1" applyBorder="1" applyAlignment="1">
      <alignment horizontal="right" vertical="center"/>
    </xf>
    <xf numFmtId="0" fontId="8" fillId="26" borderId="31" xfId="0" applyFont="1" applyFill="1" applyBorder="1" applyAlignment="1">
      <alignment horizontal="left" vertical="center"/>
    </xf>
    <xf numFmtId="0" fontId="8" fillId="26" borderId="32" xfId="0" applyFont="1" applyFill="1" applyBorder="1" applyAlignment="1">
      <alignment horizontal="left" vertical="center"/>
    </xf>
    <xf numFmtId="0" fontId="8" fillId="26" borderId="33" xfId="0" applyFont="1" applyFill="1" applyBorder="1" applyAlignment="1">
      <alignment horizontal="left" vertical="center"/>
    </xf>
    <xf numFmtId="0" fontId="10" fillId="27" borderId="27" xfId="0" applyFont="1" applyFill="1" applyBorder="1" applyAlignment="1">
      <alignment horizontal="left" vertical="center"/>
    </xf>
    <xf numFmtId="0" fontId="10" fillId="27" borderId="0" xfId="0" applyFont="1" applyFill="1" applyBorder="1" applyAlignment="1">
      <alignment horizontal="left" vertical="center"/>
    </xf>
    <xf numFmtId="0" fontId="10" fillId="27" borderId="28" xfId="0" applyFont="1" applyFill="1" applyBorder="1" applyAlignment="1">
      <alignment horizontal="left" vertical="center"/>
    </xf>
    <xf numFmtId="2" fontId="10" fillId="27" borderId="27" xfId="0" applyNumberFormat="1" applyFont="1" applyFill="1" applyBorder="1" applyAlignment="1">
      <alignment horizontal="right" vertical="center"/>
    </xf>
    <xf numFmtId="2" fontId="10" fillId="27" borderId="0" xfId="0" applyNumberFormat="1" applyFont="1" applyFill="1" applyBorder="1" applyAlignment="1">
      <alignment horizontal="right" vertical="center"/>
    </xf>
    <xf numFmtId="2" fontId="10" fillId="27" borderId="28" xfId="0" applyNumberFormat="1" applyFont="1" applyFill="1" applyBorder="1" applyAlignment="1">
      <alignment horizontal="right" vertical="center"/>
    </xf>
    <xf numFmtId="2" fontId="10" fillId="27" borderId="29" xfId="0" applyNumberFormat="1" applyFont="1" applyFill="1" applyBorder="1" applyAlignment="1">
      <alignment horizontal="right" vertical="center"/>
    </xf>
    <xf numFmtId="2" fontId="10" fillId="27" borderId="11" xfId="0" applyNumberFormat="1" applyFont="1" applyFill="1" applyBorder="1" applyAlignment="1">
      <alignment horizontal="right" vertical="center"/>
    </xf>
    <xf numFmtId="2" fontId="10" fillId="27" borderId="30" xfId="0" applyNumberFormat="1" applyFont="1" applyFill="1" applyBorder="1" applyAlignment="1">
      <alignment horizontal="right" vertical="center"/>
    </xf>
    <xf numFmtId="179" fontId="10" fillId="27" borderId="27" xfId="60" applyFont="1" applyFill="1" applyBorder="1" applyAlignment="1">
      <alignment horizontal="right" vertical="center"/>
    </xf>
    <xf numFmtId="179" fontId="10" fillId="27" borderId="0" xfId="60" applyFont="1" applyFill="1" applyBorder="1" applyAlignment="1">
      <alignment horizontal="right" vertical="center"/>
    </xf>
    <xf numFmtId="0" fontId="63" fillId="26" borderId="31" xfId="0" applyFont="1" applyFill="1" applyBorder="1" applyAlignment="1">
      <alignment horizontal="left" vertical="center"/>
    </xf>
    <xf numFmtId="0" fontId="63" fillId="26" borderId="32" xfId="0" applyFont="1" applyFill="1" applyBorder="1" applyAlignment="1">
      <alignment horizontal="left" vertical="center"/>
    </xf>
    <xf numFmtId="0" fontId="63" fillId="26" borderId="33" xfId="0" applyFont="1" applyFill="1" applyBorder="1" applyAlignment="1">
      <alignment horizontal="left" vertical="center"/>
    </xf>
    <xf numFmtId="0" fontId="63" fillId="26" borderId="31" xfId="0" applyFont="1" applyFill="1" applyBorder="1" applyAlignment="1">
      <alignment horizontal="center" vertical="center"/>
    </xf>
    <xf numFmtId="0" fontId="63" fillId="26" borderId="32" xfId="0" applyFont="1" applyFill="1" applyBorder="1" applyAlignment="1">
      <alignment horizontal="center" vertical="center"/>
    </xf>
    <xf numFmtId="0" fontId="63" fillId="26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8" fillId="26" borderId="31" xfId="0" applyNumberFormat="1" applyFont="1" applyFill="1" applyBorder="1" applyAlignment="1">
      <alignment horizontal="right" vertical="center"/>
    </xf>
    <xf numFmtId="2" fontId="8" fillId="26" borderId="32" xfId="0" applyNumberFormat="1" applyFont="1" applyFill="1" applyBorder="1" applyAlignment="1">
      <alignment horizontal="right" vertical="center"/>
    </xf>
    <xf numFmtId="2" fontId="8" fillId="26" borderId="33" xfId="0" applyNumberFormat="1" applyFont="1" applyFill="1" applyBorder="1" applyAlignment="1">
      <alignment horizontal="right" vertical="center"/>
    </xf>
    <xf numFmtId="0" fontId="10" fillId="27" borderId="34" xfId="0" applyFont="1" applyFill="1" applyBorder="1" applyAlignment="1">
      <alignment horizontal="left" vertical="center"/>
    </xf>
    <xf numFmtId="0" fontId="10" fillId="27" borderId="35" xfId="0" applyFont="1" applyFill="1" applyBorder="1" applyAlignment="1">
      <alignment horizontal="left" vertical="center"/>
    </xf>
    <xf numFmtId="0" fontId="10" fillId="27" borderId="36" xfId="0" applyFont="1" applyFill="1" applyBorder="1" applyAlignment="1">
      <alignment horizontal="left" vertical="center"/>
    </xf>
    <xf numFmtId="0" fontId="10" fillId="27" borderId="34" xfId="0" applyFont="1" applyFill="1" applyBorder="1" applyAlignment="1">
      <alignment horizontal="center" vertical="center"/>
    </xf>
    <xf numFmtId="0" fontId="10" fillId="27" borderId="35" xfId="0" applyFont="1" applyFill="1" applyBorder="1" applyAlignment="1">
      <alignment horizontal="center" vertical="center"/>
    </xf>
    <xf numFmtId="0" fontId="10" fillId="27" borderId="36" xfId="0" applyFont="1" applyFill="1" applyBorder="1" applyAlignment="1">
      <alignment horizontal="center" vertical="center"/>
    </xf>
    <xf numFmtId="2" fontId="10" fillId="27" borderId="34" xfId="0" applyNumberFormat="1" applyFont="1" applyFill="1" applyBorder="1" applyAlignment="1">
      <alignment horizontal="right" vertical="center"/>
    </xf>
    <xf numFmtId="2" fontId="10" fillId="27" borderId="35" xfId="0" applyNumberFormat="1" applyFont="1" applyFill="1" applyBorder="1" applyAlignment="1">
      <alignment horizontal="right" vertical="center"/>
    </xf>
    <xf numFmtId="2" fontId="10" fillId="27" borderId="36" xfId="0" applyNumberFormat="1" applyFont="1" applyFill="1" applyBorder="1" applyAlignment="1">
      <alignment horizontal="right" vertical="center"/>
    </xf>
    <xf numFmtId="179" fontId="63" fillId="0" borderId="31" xfId="60" applyFont="1" applyFill="1" applyBorder="1" applyAlignment="1">
      <alignment horizontal="right" vertical="center"/>
    </xf>
    <xf numFmtId="179" fontId="63" fillId="0" borderId="32" xfId="60" applyFont="1" applyFill="1" applyBorder="1" applyAlignment="1">
      <alignment horizontal="right" vertical="center"/>
    </xf>
    <xf numFmtId="179" fontId="63" fillId="0" borderId="33" xfId="6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0" fillId="27" borderId="34" xfId="0" applyFont="1" applyFill="1" applyBorder="1" applyAlignment="1">
      <alignment horizontal="right" vertical="center"/>
    </xf>
    <xf numFmtId="0" fontId="10" fillId="27" borderId="35" xfId="0" applyFont="1" applyFill="1" applyBorder="1" applyAlignment="1">
      <alignment horizontal="right" vertical="center"/>
    </xf>
    <xf numFmtId="0" fontId="10" fillId="27" borderId="36" xfId="0" applyFont="1" applyFill="1" applyBorder="1" applyAlignment="1">
      <alignment horizontal="right" vertical="center"/>
    </xf>
    <xf numFmtId="179" fontId="10" fillId="27" borderId="34" xfId="60" applyFont="1" applyFill="1" applyBorder="1" applyAlignment="1">
      <alignment horizontal="right" vertical="center"/>
    </xf>
    <xf numFmtId="179" fontId="10" fillId="27" borderId="35" xfId="6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2" fontId="8" fillId="0" borderId="40" xfId="0" applyNumberFormat="1" applyFont="1" applyFill="1" applyBorder="1" applyAlignment="1">
      <alignment horizontal="right" vertical="center"/>
    </xf>
    <xf numFmtId="2" fontId="8" fillId="0" borderId="38" xfId="0" applyNumberFormat="1" applyFont="1" applyFill="1" applyBorder="1" applyAlignment="1">
      <alignment horizontal="right" vertical="center"/>
    </xf>
    <xf numFmtId="2" fontId="8" fillId="0" borderId="39" xfId="0" applyNumberFormat="1" applyFont="1" applyFill="1" applyBorder="1" applyAlignment="1">
      <alignment horizontal="right" vertical="center"/>
    </xf>
    <xf numFmtId="2" fontId="8" fillId="0" borderId="34" xfId="0" applyNumberFormat="1" applyFont="1" applyFill="1" applyBorder="1" applyAlignment="1">
      <alignment horizontal="right" vertical="center"/>
    </xf>
    <xf numFmtId="2" fontId="8" fillId="0" borderId="35" xfId="0" applyNumberFormat="1" applyFont="1" applyFill="1" applyBorder="1" applyAlignment="1">
      <alignment horizontal="right" vertical="center"/>
    </xf>
    <xf numFmtId="2" fontId="8" fillId="0" borderId="36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10" fillId="0" borderId="31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" fontId="10" fillId="0" borderId="40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26" borderId="26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4" fontId="10" fillId="0" borderId="41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0" fontId="58" fillId="26" borderId="31" xfId="0" applyFont="1" applyFill="1" applyBorder="1" applyAlignment="1">
      <alignment horizontal="left" vertical="center"/>
    </xf>
    <xf numFmtId="0" fontId="58" fillId="26" borderId="32" xfId="0" applyFont="1" applyFill="1" applyBorder="1" applyAlignment="1">
      <alignment horizontal="left" vertical="center"/>
    </xf>
    <xf numFmtId="0" fontId="58" fillId="26" borderId="33" xfId="0" applyFont="1" applyFill="1" applyBorder="1" applyAlignment="1">
      <alignment horizontal="left" vertical="center"/>
    </xf>
    <xf numFmtId="179" fontId="8" fillId="0" borderId="31" xfId="60" applyFont="1" applyFill="1" applyBorder="1" applyAlignment="1">
      <alignment horizontal="right" vertical="center"/>
    </xf>
    <xf numFmtId="179" fontId="8" fillId="0" borderId="32" xfId="60" applyFont="1" applyFill="1" applyBorder="1" applyAlignment="1">
      <alignment horizontal="right" vertical="center"/>
    </xf>
    <xf numFmtId="179" fontId="8" fillId="0" borderId="33" xfId="60" applyFont="1" applyFill="1" applyBorder="1" applyAlignment="1">
      <alignment horizontal="right" vertical="center"/>
    </xf>
    <xf numFmtId="0" fontId="8" fillId="26" borderId="26" xfId="0" applyFont="1" applyFill="1" applyBorder="1" applyAlignment="1">
      <alignment horizontal="left" vertical="center"/>
    </xf>
    <xf numFmtId="0" fontId="8" fillId="26" borderId="10" xfId="0" applyFont="1" applyFill="1" applyBorder="1" applyAlignment="1">
      <alignment horizontal="left" vertical="center"/>
    </xf>
    <xf numFmtId="0" fontId="8" fillId="26" borderId="24" xfId="0" applyFont="1" applyFill="1" applyBorder="1" applyAlignment="1">
      <alignment horizontal="left" vertical="center"/>
    </xf>
    <xf numFmtId="179" fontId="8" fillId="26" borderId="26" xfId="60" applyFont="1" applyFill="1" applyBorder="1" applyAlignment="1">
      <alignment horizontal="center" vertical="center"/>
    </xf>
    <xf numFmtId="179" fontId="8" fillId="26" borderId="10" xfId="60" applyFont="1" applyFill="1" applyBorder="1" applyAlignment="1">
      <alignment horizontal="center" vertical="center"/>
    </xf>
    <xf numFmtId="0" fontId="63" fillId="26" borderId="31" xfId="0" applyFont="1" applyFill="1" applyBorder="1" applyAlignment="1">
      <alignment horizontal="left" vertical="center" wrapText="1"/>
    </xf>
    <xf numFmtId="0" fontId="63" fillId="26" borderId="32" xfId="0" applyFont="1" applyFill="1" applyBorder="1" applyAlignment="1">
      <alignment horizontal="left" vertical="center" wrapText="1"/>
    </xf>
    <xf numFmtId="0" fontId="63" fillId="26" borderId="33" xfId="0" applyFont="1" applyFill="1" applyBorder="1" applyAlignment="1">
      <alignment horizontal="left" vertical="center" wrapText="1"/>
    </xf>
    <xf numFmtId="179" fontId="63" fillId="26" borderId="10" xfId="60" applyFont="1" applyFill="1" applyBorder="1" applyAlignment="1">
      <alignment horizontal="center" vertical="center"/>
    </xf>
    <xf numFmtId="179" fontId="58" fillId="0" borderId="31" xfId="60" applyFont="1" applyFill="1" applyBorder="1" applyAlignment="1">
      <alignment horizontal="right" vertical="center"/>
    </xf>
    <xf numFmtId="179" fontId="58" fillId="0" borderId="32" xfId="60" applyFont="1" applyFill="1" applyBorder="1" applyAlignment="1">
      <alignment horizontal="right" vertical="center"/>
    </xf>
    <xf numFmtId="179" fontId="58" fillId="0" borderId="33" xfId="60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26" borderId="17" xfId="0" applyFont="1" applyFill="1" applyBorder="1" applyAlignment="1" applyProtection="1">
      <alignment horizontal="center" vertical="center" wrapText="1"/>
      <protection/>
    </xf>
    <xf numFmtId="0" fontId="10" fillId="26" borderId="15" xfId="0" applyFont="1" applyFill="1" applyBorder="1" applyAlignment="1" applyProtection="1">
      <alignment horizontal="center" vertical="center" wrapText="1"/>
      <protection/>
    </xf>
    <xf numFmtId="0" fontId="10" fillId="26" borderId="25" xfId="0" applyFont="1" applyFill="1" applyBorder="1" applyAlignment="1" applyProtection="1">
      <alignment horizontal="center" vertical="center" wrapText="1"/>
      <protection/>
    </xf>
    <xf numFmtId="0" fontId="10" fillId="29" borderId="44" xfId="0" applyFont="1" applyFill="1" applyBorder="1" applyAlignment="1" applyProtection="1">
      <alignment horizontal="center" wrapText="1"/>
      <protection/>
    </xf>
    <xf numFmtId="0" fontId="10" fillId="29" borderId="42" xfId="0" applyFont="1" applyFill="1" applyBorder="1" applyAlignment="1" applyProtection="1">
      <alignment horizontal="center" wrapText="1"/>
      <protection/>
    </xf>
    <xf numFmtId="0" fontId="10" fillId="29" borderId="44" xfId="0" applyFont="1" applyFill="1" applyBorder="1" applyAlignment="1" applyProtection="1">
      <alignment horizontal="center" vertical="center" wrapText="1"/>
      <protection/>
    </xf>
    <xf numFmtId="0" fontId="10" fillId="29" borderId="4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2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16" fillId="4" borderId="32" xfId="0" applyFont="1" applyFill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10" fillId="7" borderId="49" xfId="0" applyFont="1" applyFill="1" applyBorder="1" applyAlignment="1" applyProtection="1">
      <alignment horizontal="center"/>
      <protection/>
    </xf>
    <xf numFmtId="0" fontId="10" fillId="7" borderId="50" xfId="0" applyFont="1" applyFill="1" applyBorder="1" applyAlignment="1" applyProtection="1">
      <alignment horizontal="center"/>
      <protection/>
    </xf>
    <xf numFmtId="0" fontId="10" fillId="29" borderId="3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R38"/>
  <sheetViews>
    <sheetView tabSelected="1" view="pageBreakPreview" zoomScaleSheetLayoutView="100" zoomScalePageLayoutView="0" workbookViewId="0" topLeftCell="A1">
      <selection activeCell="EG49" sqref="DM49:EG51"/>
    </sheetView>
  </sheetViews>
  <sheetFormatPr defaultColWidth="0.875" defaultRowHeight="12.75"/>
  <cols>
    <col min="1" max="22" width="0.875" style="35" customWidth="1"/>
    <col min="23" max="23" width="2.25390625" style="35" customWidth="1"/>
    <col min="24" max="24" width="10.875" style="35" customWidth="1"/>
    <col min="25" max="40" width="0.6171875" style="35" customWidth="1"/>
    <col min="41" max="41" width="0.875" style="35" hidden="1" customWidth="1"/>
    <col min="42" max="160" width="0.875" style="35" customWidth="1"/>
    <col min="161" max="161" width="3.875" style="35" customWidth="1"/>
    <col min="162" max="174" width="0.875" style="36" customWidth="1"/>
    <col min="175" max="16384" width="0.875" style="35" customWidth="1"/>
  </cols>
  <sheetData>
    <row r="1" spans="105:174" s="33" customFormat="1" ht="12">
      <c r="DA1" s="33" t="s">
        <v>0</v>
      </c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</row>
    <row r="2" spans="105:174" s="33" customFormat="1" ht="47.25" customHeight="1">
      <c r="DA2" s="309" t="s">
        <v>168</v>
      </c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  <c r="EX2" s="309"/>
      <c r="EY2" s="309"/>
      <c r="EZ2" s="309"/>
      <c r="FA2" s="309"/>
      <c r="FB2" s="309"/>
      <c r="FC2" s="309"/>
      <c r="FD2" s="309"/>
      <c r="FE2" s="309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ht="3" customHeight="1"/>
    <row r="4" spans="105:174" s="37" customFormat="1" ht="11.25">
      <c r="DA4" s="37" t="s">
        <v>169</v>
      </c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</row>
    <row r="6" spans="161:174" s="39" customFormat="1" ht="15">
      <c r="FE6" s="40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</row>
    <row r="8" spans="1:174" s="43" customFormat="1" ht="47.25" customHeight="1">
      <c r="A8" s="310" t="s">
        <v>170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</row>
    <row r="10" spans="1:174" s="39" customFormat="1" ht="15">
      <c r="A10" s="295" t="s">
        <v>1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5"/>
      <c r="BQ10" s="295"/>
      <c r="BR10" s="295"/>
      <c r="BS10" s="295"/>
      <c r="BT10" s="295"/>
      <c r="BU10" s="295"/>
      <c r="BV10" s="295"/>
      <c r="BW10" s="295"/>
      <c r="BX10" s="295"/>
      <c r="BY10" s="295"/>
      <c r="BZ10" s="295"/>
      <c r="CA10" s="295"/>
      <c r="CB10" s="295"/>
      <c r="CC10" s="295"/>
      <c r="CD10" s="295"/>
      <c r="CE10" s="295"/>
      <c r="CF10" s="295"/>
      <c r="CG10" s="295"/>
      <c r="CH10" s="295"/>
      <c r="CI10" s="295"/>
      <c r="CJ10" s="295"/>
      <c r="CK10" s="295"/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295"/>
      <c r="EO10" s="295"/>
      <c r="EP10" s="295"/>
      <c r="EQ10" s="295"/>
      <c r="ER10" s="295"/>
      <c r="ES10" s="295"/>
      <c r="ET10" s="295"/>
      <c r="EU10" s="295"/>
      <c r="EV10" s="295"/>
      <c r="EW10" s="295"/>
      <c r="EX10" s="295"/>
      <c r="EY10" s="295"/>
      <c r="EZ10" s="295"/>
      <c r="FA10" s="295"/>
      <c r="FB10" s="295"/>
      <c r="FC10" s="295"/>
      <c r="FD10" s="295"/>
      <c r="FE10" s="295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</row>
    <row r="11" ht="6" customHeight="1"/>
    <row r="12" spans="1:174" s="44" customFormat="1" ht="14.25">
      <c r="A12" s="44" t="s">
        <v>2</v>
      </c>
      <c r="X12" s="311" t="s">
        <v>151</v>
      </c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</row>
    <row r="13" spans="24:174" s="44" customFormat="1" ht="6" customHeight="1"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</row>
    <row r="14" spans="1:174" s="44" customFormat="1" ht="14.25">
      <c r="A14" s="312" t="s">
        <v>171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3" t="s">
        <v>134</v>
      </c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  <c r="DG14" s="313"/>
      <c r="DH14" s="313"/>
      <c r="DI14" s="313"/>
      <c r="DJ14" s="313"/>
      <c r="DK14" s="313"/>
      <c r="DL14" s="313"/>
      <c r="DM14" s="313"/>
      <c r="DN14" s="313"/>
      <c r="DO14" s="313"/>
      <c r="DP14" s="313"/>
      <c r="DQ14" s="313"/>
      <c r="DR14" s="313"/>
      <c r="DS14" s="313"/>
      <c r="DT14" s="313"/>
      <c r="DU14" s="313"/>
      <c r="DV14" s="313"/>
      <c r="DW14" s="313"/>
      <c r="DX14" s="313"/>
      <c r="DY14" s="313"/>
      <c r="DZ14" s="313"/>
      <c r="EA14" s="313"/>
      <c r="EB14" s="313"/>
      <c r="EC14" s="313"/>
      <c r="ED14" s="313"/>
      <c r="EE14" s="313"/>
      <c r="EF14" s="313"/>
      <c r="EG14" s="313"/>
      <c r="EH14" s="313"/>
      <c r="EI14" s="313"/>
      <c r="EJ14" s="313"/>
      <c r="EK14" s="313"/>
      <c r="EL14" s="313"/>
      <c r="EM14" s="313"/>
      <c r="EN14" s="313"/>
      <c r="EO14" s="313"/>
      <c r="EP14" s="313"/>
      <c r="EQ14" s="313"/>
      <c r="ER14" s="313"/>
      <c r="ES14" s="313"/>
      <c r="ET14" s="313"/>
      <c r="EU14" s="313"/>
      <c r="EV14" s="313"/>
      <c r="EW14" s="313"/>
      <c r="EX14" s="313"/>
      <c r="EY14" s="313"/>
      <c r="EZ14" s="313"/>
      <c r="FA14" s="313"/>
      <c r="FB14" s="313"/>
      <c r="FC14" s="313"/>
      <c r="FD14" s="313"/>
      <c r="FE14" s="313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</row>
    <row r="15" ht="9.75" customHeight="1"/>
    <row r="16" spans="1:174" s="39" customFormat="1" ht="15">
      <c r="A16" s="295" t="s">
        <v>4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</row>
    <row r="17" ht="10.5" customHeight="1"/>
    <row r="18" spans="1:174" s="49" customFormat="1" ht="13.5" customHeight="1">
      <c r="A18" s="296" t="s">
        <v>172</v>
      </c>
      <c r="B18" s="297"/>
      <c r="C18" s="297"/>
      <c r="D18" s="297"/>
      <c r="E18" s="297"/>
      <c r="F18" s="298"/>
      <c r="G18" s="296" t="s">
        <v>173</v>
      </c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  <c r="Y18" s="296" t="s">
        <v>174</v>
      </c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8"/>
      <c r="AO18" s="305" t="s">
        <v>7</v>
      </c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7"/>
      <c r="DI18" s="296" t="s">
        <v>175</v>
      </c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8"/>
      <c r="DY18" s="296" t="s">
        <v>176</v>
      </c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8"/>
      <c r="EO18" s="314" t="s">
        <v>177</v>
      </c>
      <c r="EP18" s="315"/>
      <c r="EQ18" s="315"/>
      <c r="ER18" s="315"/>
      <c r="ES18" s="315"/>
      <c r="ET18" s="315"/>
      <c r="EU18" s="315"/>
      <c r="EV18" s="315"/>
      <c r="EW18" s="315"/>
      <c r="EX18" s="315"/>
      <c r="EY18" s="315"/>
      <c r="EZ18" s="315"/>
      <c r="FA18" s="315"/>
      <c r="FB18" s="315"/>
      <c r="FC18" s="315"/>
      <c r="FD18" s="315"/>
      <c r="FE18" s="316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49" customFormat="1" ht="13.5" customHeight="1">
      <c r="A19" s="299"/>
      <c r="B19" s="300"/>
      <c r="C19" s="300"/>
      <c r="D19" s="300"/>
      <c r="E19" s="300"/>
      <c r="F19" s="301"/>
      <c r="G19" s="299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1"/>
      <c r="Y19" s="299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1"/>
      <c r="AO19" s="296" t="s">
        <v>8</v>
      </c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8"/>
      <c r="BF19" s="305" t="s">
        <v>9</v>
      </c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6"/>
      <c r="CC19" s="306"/>
      <c r="CD19" s="306"/>
      <c r="CE19" s="306"/>
      <c r="CF19" s="306"/>
      <c r="CG19" s="306"/>
      <c r="CH19" s="306"/>
      <c r="CI19" s="306"/>
      <c r="CJ19" s="306"/>
      <c r="CK19" s="306"/>
      <c r="CL19" s="306"/>
      <c r="CM19" s="306"/>
      <c r="CN19" s="306"/>
      <c r="CO19" s="306"/>
      <c r="CP19" s="306"/>
      <c r="CQ19" s="306"/>
      <c r="CR19" s="306"/>
      <c r="CS19" s="306"/>
      <c r="CT19" s="306"/>
      <c r="CU19" s="306"/>
      <c r="CV19" s="306"/>
      <c r="CW19" s="306"/>
      <c r="CX19" s="306"/>
      <c r="CY19" s="306"/>
      <c r="CZ19" s="306"/>
      <c r="DA19" s="306"/>
      <c r="DB19" s="306"/>
      <c r="DC19" s="306"/>
      <c r="DD19" s="306"/>
      <c r="DE19" s="306"/>
      <c r="DF19" s="306"/>
      <c r="DG19" s="306"/>
      <c r="DH19" s="307"/>
      <c r="DI19" s="299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1"/>
      <c r="DY19" s="299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1"/>
      <c r="EO19" s="317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9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49" customFormat="1" ht="39.75" customHeight="1">
      <c r="A20" s="302"/>
      <c r="B20" s="303"/>
      <c r="C20" s="303"/>
      <c r="D20" s="303"/>
      <c r="E20" s="303"/>
      <c r="F20" s="304"/>
      <c r="G20" s="302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4"/>
      <c r="Y20" s="302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4"/>
      <c r="AO20" s="302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4"/>
      <c r="BF20" s="323" t="s">
        <v>178</v>
      </c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 t="s">
        <v>179</v>
      </c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 t="s">
        <v>180</v>
      </c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02"/>
      <c r="DJ20" s="303"/>
      <c r="DK20" s="303"/>
      <c r="DL20" s="303"/>
      <c r="DM20" s="303"/>
      <c r="DN20" s="303"/>
      <c r="DO20" s="303"/>
      <c r="DP20" s="303"/>
      <c r="DQ20" s="303"/>
      <c r="DR20" s="303"/>
      <c r="DS20" s="303"/>
      <c r="DT20" s="303"/>
      <c r="DU20" s="303"/>
      <c r="DV20" s="303"/>
      <c r="DW20" s="303"/>
      <c r="DX20" s="304"/>
      <c r="DY20" s="302"/>
      <c r="DZ20" s="303"/>
      <c r="EA20" s="303"/>
      <c r="EB20" s="303"/>
      <c r="EC20" s="303"/>
      <c r="ED20" s="303"/>
      <c r="EE20" s="303"/>
      <c r="EF20" s="303"/>
      <c r="EG20" s="303"/>
      <c r="EH20" s="303"/>
      <c r="EI20" s="303"/>
      <c r="EJ20" s="303"/>
      <c r="EK20" s="303"/>
      <c r="EL20" s="303"/>
      <c r="EM20" s="303"/>
      <c r="EN20" s="304"/>
      <c r="EO20" s="320"/>
      <c r="EP20" s="321"/>
      <c r="EQ20" s="321"/>
      <c r="ER20" s="321"/>
      <c r="ES20" s="321"/>
      <c r="ET20" s="321"/>
      <c r="EU20" s="321"/>
      <c r="EV20" s="321"/>
      <c r="EW20" s="321"/>
      <c r="EX20" s="321"/>
      <c r="EY20" s="321"/>
      <c r="EZ20" s="321"/>
      <c r="FA20" s="321"/>
      <c r="FB20" s="321"/>
      <c r="FC20" s="321"/>
      <c r="FD20" s="321"/>
      <c r="FE20" s="322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51" customFormat="1" ht="12.75">
      <c r="A21" s="324">
        <v>1</v>
      </c>
      <c r="B21" s="324"/>
      <c r="C21" s="324"/>
      <c r="D21" s="324"/>
      <c r="E21" s="324"/>
      <c r="F21" s="324"/>
      <c r="G21" s="324">
        <v>2</v>
      </c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08">
        <v>3</v>
      </c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>
        <v>4</v>
      </c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>
        <v>5</v>
      </c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>
        <v>6</v>
      </c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>
        <v>7</v>
      </c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>
        <v>8</v>
      </c>
      <c r="DJ21" s="308"/>
      <c r="DK21" s="308"/>
      <c r="DL21" s="308"/>
      <c r="DM21" s="308"/>
      <c r="DN21" s="308"/>
      <c r="DO21" s="308"/>
      <c r="DP21" s="308"/>
      <c r="DQ21" s="308"/>
      <c r="DR21" s="308"/>
      <c r="DS21" s="308"/>
      <c r="DT21" s="308"/>
      <c r="DU21" s="308"/>
      <c r="DV21" s="308"/>
      <c r="DW21" s="308"/>
      <c r="DX21" s="308"/>
      <c r="DY21" s="308">
        <v>9</v>
      </c>
      <c r="DZ21" s="308"/>
      <c r="EA21" s="308"/>
      <c r="EB21" s="308"/>
      <c r="EC21" s="308"/>
      <c r="ED21" s="308"/>
      <c r="EE21" s="308"/>
      <c r="EF21" s="308"/>
      <c r="EG21" s="308"/>
      <c r="EH21" s="308"/>
      <c r="EI21" s="308"/>
      <c r="EJ21" s="308"/>
      <c r="EK21" s="308"/>
      <c r="EL21" s="308"/>
      <c r="EM21" s="308"/>
      <c r="EN21" s="308"/>
      <c r="EO21" s="325">
        <v>10</v>
      </c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</row>
    <row r="22" spans="1:174" s="53" customFormat="1" ht="12.75">
      <c r="A22" s="326" t="s">
        <v>181</v>
      </c>
      <c r="B22" s="326"/>
      <c r="C22" s="326"/>
      <c r="D22" s="326"/>
      <c r="E22" s="326"/>
      <c r="F22" s="326"/>
      <c r="G22" s="327" t="s">
        <v>182</v>
      </c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8">
        <v>1</v>
      </c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292"/>
      <c r="CU22" s="292"/>
      <c r="CV22" s="292"/>
      <c r="CW22" s="292"/>
      <c r="CX22" s="292"/>
      <c r="CY22" s="292"/>
      <c r="CZ22" s="292"/>
      <c r="DA22" s="292"/>
      <c r="DB22" s="292"/>
      <c r="DC22" s="292"/>
      <c r="DD22" s="292"/>
      <c r="DE22" s="292"/>
      <c r="DF22" s="292"/>
      <c r="DG22" s="292"/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2"/>
      <c r="DV22" s="292"/>
      <c r="DW22" s="292"/>
      <c r="DX22" s="292"/>
      <c r="DY22" s="292"/>
      <c r="DZ22" s="292"/>
      <c r="EA22" s="292"/>
      <c r="EB22" s="292"/>
      <c r="EC22" s="292"/>
      <c r="ED22" s="292"/>
      <c r="EE22" s="292"/>
      <c r="EF22" s="292"/>
      <c r="EG22" s="292"/>
      <c r="EH22" s="292"/>
      <c r="EI22" s="292"/>
      <c r="EJ22" s="292"/>
      <c r="EK22" s="292"/>
      <c r="EL22" s="292"/>
      <c r="EM22" s="292"/>
      <c r="EN22" s="292"/>
      <c r="EO22" s="329">
        <f>Y22*AO22*12</f>
        <v>0</v>
      </c>
      <c r="EP22" s="329"/>
      <c r="EQ22" s="329"/>
      <c r="ER22" s="329"/>
      <c r="ES22" s="329"/>
      <c r="ET22" s="329"/>
      <c r="EU22" s="329"/>
      <c r="EV22" s="329"/>
      <c r="EW22" s="329"/>
      <c r="EX22" s="329"/>
      <c r="EY22" s="329"/>
      <c r="EZ22" s="329"/>
      <c r="FA22" s="329"/>
      <c r="FB22" s="329"/>
      <c r="FC22" s="329"/>
      <c r="FD22" s="329"/>
      <c r="FE22" s="329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</row>
    <row r="23" spans="1:174" s="53" customFormat="1" ht="12.75">
      <c r="A23" s="326" t="s">
        <v>183</v>
      </c>
      <c r="B23" s="326"/>
      <c r="C23" s="326"/>
      <c r="D23" s="326"/>
      <c r="E23" s="326"/>
      <c r="F23" s="326"/>
      <c r="G23" s="327" t="s">
        <v>184</v>
      </c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8">
        <v>1.5</v>
      </c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330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2"/>
      <c r="DZ23" s="292"/>
      <c r="EA23" s="292"/>
      <c r="EB23" s="292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329">
        <f aca="true" t="shared" si="0" ref="EO23:EO36">Y23*AO23*12</f>
        <v>0</v>
      </c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</row>
    <row r="24" spans="1:174" s="53" customFormat="1" ht="12.75">
      <c r="A24" s="326" t="s">
        <v>185</v>
      </c>
      <c r="B24" s="326"/>
      <c r="C24" s="326"/>
      <c r="D24" s="326"/>
      <c r="E24" s="326"/>
      <c r="F24" s="326"/>
      <c r="G24" s="327" t="s">
        <v>186</v>
      </c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8">
        <v>1</v>
      </c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330"/>
      <c r="BG24" s="331"/>
      <c r="BH24" s="331"/>
      <c r="BI24" s="331"/>
      <c r="BJ24" s="331"/>
      <c r="BK24" s="331"/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2"/>
      <c r="BX24" s="292"/>
      <c r="BY24" s="292"/>
      <c r="BZ24" s="292"/>
      <c r="CA24" s="292"/>
      <c r="CB24" s="292"/>
      <c r="CC24" s="292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292"/>
      <c r="CU24" s="292"/>
      <c r="CV24" s="292"/>
      <c r="CW24" s="292"/>
      <c r="CX24" s="292"/>
      <c r="CY24" s="292"/>
      <c r="CZ24" s="292"/>
      <c r="DA24" s="292"/>
      <c r="DB24" s="292"/>
      <c r="DC24" s="292"/>
      <c r="DD24" s="292"/>
      <c r="DE24" s="292"/>
      <c r="DF24" s="292"/>
      <c r="DG24" s="292"/>
      <c r="DH24" s="292"/>
      <c r="DI24" s="292"/>
      <c r="DJ24" s="292"/>
      <c r="DK24" s="292"/>
      <c r="DL24" s="292"/>
      <c r="DM24" s="292"/>
      <c r="DN24" s="292"/>
      <c r="DO24" s="292"/>
      <c r="DP24" s="292"/>
      <c r="DQ24" s="292"/>
      <c r="DR24" s="292"/>
      <c r="DS24" s="292"/>
      <c r="DT24" s="292"/>
      <c r="DU24" s="292"/>
      <c r="DV24" s="292"/>
      <c r="DW24" s="292"/>
      <c r="DX24" s="292"/>
      <c r="DY24" s="292"/>
      <c r="DZ24" s="292"/>
      <c r="EA24" s="292"/>
      <c r="EB24" s="292"/>
      <c r="EC24" s="292"/>
      <c r="ED24" s="292"/>
      <c r="EE24" s="292"/>
      <c r="EF24" s="292"/>
      <c r="EG24" s="292"/>
      <c r="EH24" s="292"/>
      <c r="EI24" s="292"/>
      <c r="EJ24" s="292"/>
      <c r="EK24" s="292"/>
      <c r="EL24" s="292"/>
      <c r="EM24" s="292"/>
      <c r="EN24" s="292"/>
      <c r="EO24" s="329">
        <f t="shared" si="0"/>
        <v>0</v>
      </c>
      <c r="EP24" s="329"/>
      <c r="EQ24" s="329"/>
      <c r="ER24" s="329"/>
      <c r="ES24" s="329"/>
      <c r="ET24" s="329"/>
      <c r="EU24" s="329"/>
      <c r="EV24" s="329"/>
      <c r="EW24" s="329"/>
      <c r="EX24" s="329"/>
      <c r="EY24" s="329"/>
      <c r="EZ24" s="329"/>
      <c r="FA24" s="329"/>
      <c r="FB24" s="329"/>
      <c r="FC24" s="329"/>
      <c r="FD24" s="329"/>
      <c r="FE24" s="329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</row>
    <row r="25" spans="1:174" s="53" customFormat="1" ht="12.75">
      <c r="A25" s="326" t="s">
        <v>187</v>
      </c>
      <c r="B25" s="326"/>
      <c r="C25" s="326"/>
      <c r="D25" s="326"/>
      <c r="E25" s="326"/>
      <c r="F25" s="326"/>
      <c r="G25" s="327" t="s">
        <v>188</v>
      </c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8">
        <v>1</v>
      </c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  <c r="CA25" s="292"/>
      <c r="CB25" s="292"/>
      <c r="CC25" s="292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292"/>
      <c r="CU25" s="292"/>
      <c r="CV25" s="292"/>
      <c r="CW25" s="292"/>
      <c r="CX25" s="292"/>
      <c r="CY25" s="292"/>
      <c r="CZ25" s="292"/>
      <c r="DA25" s="292"/>
      <c r="DB25" s="292"/>
      <c r="DC25" s="292"/>
      <c r="DD25" s="292"/>
      <c r="DE25" s="292"/>
      <c r="DF25" s="292"/>
      <c r="DG25" s="292"/>
      <c r="DH25" s="292"/>
      <c r="DI25" s="292"/>
      <c r="DJ25" s="292"/>
      <c r="DK25" s="292"/>
      <c r="DL25" s="292"/>
      <c r="DM25" s="292"/>
      <c r="DN25" s="292"/>
      <c r="DO25" s="292"/>
      <c r="DP25" s="292"/>
      <c r="DQ25" s="292"/>
      <c r="DR25" s="292"/>
      <c r="DS25" s="292"/>
      <c r="DT25" s="292"/>
      <c r="DU25" s="292"/>
      <c r="DV25" s="292"/>
      <c r="DW25" s="292"/>
      <c r="DX25" s="292"/>
      <c r="DY25" s="292"/>
      <c r="DZ25" s="292"/>
      <c r="EA25" s="292"/>
      <c r="EB25" s="292"/>
      <c r="EC25" s="292"/>
      <c r="ED25" s="292"/>
      <c r="EE25" s="292"/>
      <c r="EF25" s="292"/>
      <c r="EG25" s="292"/>
      <c r="EH25" s="292"/>
      <c r="EI25" s="292"/>
      <c r="EJ25" s="292"/>
      <c r="EK25" s="292"/>
      <c r="EL25" s="292"/>
      <c r="EM25" s="292"/>
      <c r="EN25" s="292"/>
      <c r="EO25" s="329">
        <f t="shared" si="0"/>
        <v>0</v>
      </c>
      <c r="EP25" s="329"/>
      <c r="EQ25" s="329"/>
      <c r="ER25" s="329"/>
      <c r="ES25" s="329"/>
      <c r="ET25" s="329"/>
      <c r="EU25" s="329"/>
      <c r="EV25" s="329"/>
      <c r="EW25" s="329"/>
      <c r="EX25" s="329"/>
      <c r="EY25" s="329"/>
      <c r="EZ25" s="329"/>
      <c r="FA25" s="329"/>
      <c r="FB25" s="329"/>
      <c r="FC25" s="329"/>
      <c r="FD25" s="329"/>
      <c r="FE25" s="329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</row>
    <row r="26" spans="1:174" s="53" customFormat="1" ht="12.75">
      <c r="A26" s="326" t="s">
        <v>189</v>
      </c>
      <c r="B26" s="326"/>
      <c r="C26" s="326"/>
      <c r="D26" s="326"/>
      <c r="E26" s="326"/>
      <c r="F26" s="326"/>
      <c r="G26" s="327" t="s">
        <v>190</v>
      </c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8">
        <v>0.5</v>
      </c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  <c r="CA26" s="292"/>
      <c r="CB26" s="292"/>
      <c r="CC26" s="292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292"/>
      <c r="CU26" s="292"/>
      <c r="CV26" s="292"/>
      <c r="CW26" s="292"/>
      <c r="CX26" s="292"/>
      <c r="CY26" s="292"/>
      <c r="CZ26" s="292"/>
      <c r="DA26" s="292"/>
      <c r="DB26" s="292"/>
      <c r="DC26" s="292"/>
      <c r="DD26" s="292"/>
      <c r="DE26" s="292"/>
      <c r="DF26" s="292"/>
      <c r="DG26" s="292"/>
      <c r="DH26" s="292"/>
      <c r="DI26" s="292"/>
      <c r="DJ26" s="292"/>
      <c r="DK26" s="292"/>
      <c r="DL26" s="292"/>
      <c r="DM26" s="292"/>
      <c r="DN26" s="292"/>
      <c r="DO26" s="292"/>
      <c r="DP26" s="292"/>
      <c r="DQ26" s="292"/>
      <c r="DR26" s="292"/>
      <c r="DS26" s="292"/>
      <c r="DT26" s="292"/>
      <c r="DU26" s="292"/>
      <c r="DV26" s="292"/>
      <c r="DW26" s="292"/>
      <c r="DX26" s="292"/>
      <c r="DY26" s="292"/>
      <c r="DZ26" s="292"/>
      <c r="EA26" s="292"/>
      <c r="EB26" s="292"/>
      <c r="EC26" s="292"/>
      <c r="ED26" s="292"/>
      <c r="EE26" s="292"/>
      <c r="EF26" s="292"/>
      <c r="EG26" s="292"/>
      <c r="EH26" s="292"/>
      <c r="EI26" s="292"/>
      <c r="EJ26" s="292"/>
      <c r="EK26" s="292"/>
      <c r="EL26" s="292"/>
      <c r="EM26" s="292"/>
      <c r="EN26" s="292"/>
      <c r="EO26" s="329">
        <f t="shared" si="0"/>
        <v>0</v>
      </c>
      <c r="EP26" s="329"/>
      <c r="EQ26" s="329"/>
      <c r="ER26" s="329"/>
      <c r="ES26" s="329"/>
      <c r="ET26" s="329"/>
      <c r="EU26" s="329"/>
      <c r="EV26" s="329"/>
      <c r="EW26" s="329"/>
      <c r="EX26" s="329"/>
      <c r="EY26" s="329"/>
      <c r="EZ26" s="329"/>
      <c r="FA26" s="329"/>
      <c r="FB26" s="329"/>
      <c r="FC26" s="329"/>
      <c r="FD26" s="329"/>
      <c r="FE26" s="329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</row>
    <row r="27" spans="1:174" s="53" customFormat="1" ht="12.75">
      <c r="A27" s="326" t="s">
        <v>191</v>
      </c>
      <c r="B27" s="326"/>
      <c r="C27" s="326"/>
      <c r="D27" s="326"/>
      <c r="E27" s="326"/>
      <c r="F27" s="326"/>
      <c r="G27" s="327" t="s">
        <v>192</v>
      </c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8">
        <v>0.5</v>
      </c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  <c r="EO27" s="329">
        <f t="shared" si="0"/>
        <v>0</v>
      </c>
      <c r="EP27" s="329"/>
      <c r="EQ27" s="329"/>
      <c r="ER27" s="329"/>
      <c r="ES27" s="329"/>
      <c r="ET27" s="329"/>
      <c r="EU27" s="329"/>
      <c r="EV27" s="329"/>
      <c r="EW27" s="329"/>
      <c r="EX27" s="329"/>
      <c r="EY27" s="329"/>
      <c r="EZ27" s="329"/>
      <c r="FA27" s="329"/>
      <c r="FB27" s="329"/>
      <c r="FC27" s="329"/>
      <c r="FD27" s="329"/>
      <c r="FE27" s="329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</row>
    <row r="28" spans="1:174" s="53" customFormat="1" ht="12.75">
      <c r="A28" s="326" t="s">
        <v>193</v>
      </c>
      <c r="B28" s="326"/>
      <c r="C28" s="326"/>
      <c r="D28" s="326"/>
      <c r="E28" s="326"/>
      <c r="F28" s="326"/>
      <c r="G28" s="327" t="s">
        <v>194</v>
      </c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8">
        <v>0.5</v>
      </c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  <c r="EO28" s="329">
        <f t="shared" si="0"/>
        <v>0</v>
      </c>
      <c r="EP28" s="329"/>
      <c r="EQ28" s="329"/>
      <c r="ER28" s="329"/>
      <c r="ES28" s="329"/>
      <c r="ET28" s="329"/>
      <c r="EU28" s="329"/>
      <c r="EV28" s="329"/>
      <c r="EW28" s="329"/>
      <c r="EX28" s="329"/>
      <c r="EY28" s="329"/>
      <c r="EZ28" s="329"/>
      <c r="FA28" s="329"/>
      <c r="FB28" s="329"/>
      <c r="FC28" s="329"/>
      <c r="FD28" s="329"/>
      <c r="FE28" s="329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</row>
    <row r="29" spans="1:174" s="53" customFormat="1" ht="12.75">
      <c r="A29" s="326" t="s">
        <v>195</v>
      </c>
      <c r="B29" s="326"/>
      <c r="C29" s="326"/>
      <c r="D29" s="326"/>
      <c r="E29" s="326"/>
      <c r="F29" s="326"/>
      <c r="G29" s="327" t="s">
        <v>196</v>
      </c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328">
        <v>21.28</v>
      </c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  <c r="EO29" s="329">
        <f>Y29*AO29*12</f>
        <v>0</v>
      </c>
      <c r="EP29" s="329"/>
      <c r="EQ29" s="329"/>
      <c r="ER29" s="329"/>
      <c r="ES29" s="329"/>
      <c r="ET29" s="329"/>
      <c r="EU29" s="329"/>
      <c r="EV29" s="329"/>
      <c r="EW29" s="329"/>
      <c r="EX29" s="329"/>
      <c r="EY29" s="329"/>
      <c r="EZ29" s="329"/>
      <c r="FA29" s="329"/>
      <c r="FB29" s="329"/>
      <c r="FC29" s="329"/>
      <c r="FD29" s="329"/>
      <c r="FE29" s="329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2.75">
      <c r="A30" s="326" t="s">
        <v>197</v>
      </c>
      <c r="B30" s="326"/>
      <c r="C30" s="326"/>
      <c r="D30" s="326"/>
      <c r="E30" s="326"/>
      <c r="F30" s="326"/>
      <c r="G30" s="327" t="s">
        <v>198</v>
      </c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8">
        <v>1</v>
      </c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330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1"/>
      <c r="EK30" s="331"/>
      <c r="EL30" s="331"/>
      <c r="EM30" s="331"/>
      <c r="EN30" s="332"/>
      <c r="EO30" s="329">
        <f>Y30*AO30*12</f>
        <v>0</v>
      </c>
      <c r="EP30" s="329"/>
      <c r="EQ30" s="329"/>
      <c r="ER30" s="329"/>
      <c r="ES30" s="329"/>
      <c r="ET30" s="329"/>
      <c r="EU30" s="329"/>
      <c r="EV30" s="329"/>
      <c r="EW30" s="329"/>
      <c r="EX30" s="329"/>
      <c r="EY30" s="329"/>
      <c r="EZ30" s="329"/>
      <c r="FA30" s="329"/>
      <c r="FB30" s="329"/>
      <c r="FC30" s="329"/>
      <c r="FD30" s="329"/>
      <c r="FE30" s="329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2.75">
      <c r="A31" s="326" t="s">
        <v>199</v>
      </c>
      <c r="B31" s="326"/>
      <c r="C31" s="326"/>
      <c r="D31" s="326"/>
      <c r="E31" s="326"/>
      <c r="F31" s="326"/>
      <c r="G31" s="327" t="s">
        <v>200</v>
      </c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8">
        <v>0.5</v>
      </c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330"/>
      <c r="DZ31" s="331"/>
      <c r="EA31" s="331"/>
      <c r="EB31" s="331"/>
      <c r="EC31" s="331"/>
      <c r="ED31" s="331"/>
      <c r="EE31" s="331"/>
      <c r="EF31" s="331"/>
      <c r="EG31" s="331"/>
      <c r="EH31" s="331"/>
      <c r="EI31" s="331"/>
      <c r="EJ31" s="331"/>
      <c r="EK31" s="331"/>
      <c r="EL31" s="331"/>
      <c r="EM31" s="331"/>
      <c r="EN31" s="332"/>
      <c r="EO31" s="329">
        <f t="shared" si="0"/>
        <v>0</v>
      </c>
      <c r="EP31" s="329"/>
      <c r="EQ31" s="329"/>
      <c r="ER31" s="329"/>
      <c r="ES31" s="329"/>
      <c r="ET31" s="329"/>
      <c r="EU31" s="329"/>
      <c r="EV31" s="329"/>
      <c r="EW31" s="329"/>
      <c r="EX31" s="329"/>
      <c r="EY31" s="329"/>
      <c r="EZ31" s="329"/>
      <c r="FA31" s="329"/>
      <c r="FB31" s="329"/>
      <c r="FC31" s="329"/>
      <c r="FD31" s="329"/>
      <c r="FE31" s="329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2.75">
      <c r="A32" s="326" t="s">
        <v>204</v>
      </c>
      <c r="B32" s="326"/>
      <c r="C32" s="326"/>
      <c r="D32" s="326"/>
      <c r="E32" s="326"/>
      <c r="F32" s="326"/>
      <c r="G32" s="327" t="s">
        <v>205</v>
      </c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8">
        <v>2</v>
      </c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330"/>
      <c r="DZ32" s="331"/>
      <c r="EA32" s="331"/>
      <c r="EB32" s="331"/>
      <c r="EC32" s="331"/>
      <c r="ED32" s="331"/>
      <c r="EE32" s="331"/>
      <c r="EF32" s="331"/>
      <c r="EG32" s="331"/>
      <c r="EH32" s="331"/>
      <c r="EI32" s="331"/>
      <c r="EJ32" s="331"/>
      <c r="EK32" s="331"/>
      <c r="EL32" s="331"/>
      <c r="EM32" s="331"/>
      <c r="EN32" s="332"/>
      <c r="EO32" s="329">
        <f>Y32*AO32*12</f>
        <v>0</v>
      </c>
      <c r="EP32" s="329"/>
      <c r="EQ32" s="329"/>
      <c r="ER32" s="329"/>
      <c r="ES32" s="329"/>
      <c r="ET32" s="329"/>
      <c r="EU32" s="329"/>
      <c r="EV32" s="329"/>
      <c r="EW32" s="329"/>
      <c r="EX32" s="329"/>
      <c r="EY32" s="329"/>
      <c r="EZ32" s="329"/>
      <c r="FA32" s="329"/>
      <c r="FB32" s="329"/>
      <c r="FC32" s="329"/>
      <c r="FD32" s="329"/>
      <c r="FE32" s="329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2.75">
      <c r="A33" s="326" t="s">
        <v>202</v>
      </c>
      <c r="B33" s="326"/>
      <c r="C33" s="326"/>
      <c r="D33" s="326"/>
      <c r="E33" s="326"/>
      <c r="F33" s="326"/>
      <c r="G33" s="327" t="s">
        <v>203</v>
      </c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8">
        <v>6</v>
      </c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330"/>
      <c r="DZ33" s="331"/>
      <c r="EA33" s="331"/>
      <c r="EB33" s="331"/>
      <c r="EC33" s="331"/>
      <c r="ED33" s="331"/>
      <c r="EE33" s="331"/>
      <c r="EF33" s="331"/>
      <c r="EG33" s="331"/>
      <c r="EH33" s="331"/>
      <c r="EI33" s="331"/>
      <c r="EJ33" s="331"/>
      <c r="EK33" s="331"/>
      <c r="EL33" s="331"/>
      <c r="EM33" s="331"/>
      <c r="EN33" s="332"/>
      <c r="EO33" s="329">
        <f>Y33*AO33*12</f>
        <v>0</v>
      </c>
      <c r="EP33" s="329"/>
      <c r="EQ33" s="329"/>
      <c r="ER33" s="329"/>
      <c r="ES33" s="329"/>
      <c r="ET33" s="329"/>
      <c r="EU33" s="329"/>
      <c r="EV33" s="329"/>
      <c r="EW33" s="329"/>
      <c r="EX33" s="329"/>
      <c r="EY33" s="329"/>
      <c r="EZ33" s="329"/>
      <c r="FA33" s="329"/>
      <c r="FB33" s="329"/>
      <c r="FC33" s="329"/>
      <c r="FD33" s="329"/>
      <c r="FE33" s="329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2.75">
      <c r="A34" s="326" t="s">
        <v>206</v>
      </c>
      <c r="B34" s="326"/>
      <c r="C34" s="326"/>
      <c r="D34" s="326"/>
      <c r="E34" s="326"/>
      <c r="F34" s="326"/>
      <c r="G34" s="327" t="s">
        <v>207</v>
      </c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8">
        <v>2</v>
      </c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330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2"/>
      <c r="EO34" s="329">
        <f>Y34*AO34*12</f>
        <v>0</v>
      </c>
      <c r="EP34" s="329"/>
      <c r="EQ34" s="329"/>
      <c r="ER34" s="329"/>
      <c r="ES34" s="329"/>
      <c r="ET34" s="329"/>
      <c r="EU34" s="329"/>
      <c r="EV34" s="329"/>
      <c r="EW34" s="329"/>
      <c r="EX34" s="329"/>
      <c r="EY34" s="329"/>
      <c r="EZ34" s="329"/>
      <c r="FA34" s="329"/>
      <c r="FB34" s="329"/>
      <c r="FC34" s="329"/>
      <c r="FD34" s="329"/>
      <c r="FE34" s="329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2.75">
      <c r="A35" s="326" t="s">
        <v>208</v>
      </c>
      <c r="B35" s="326"/>
      <c r="C35" s="326"/>
      <c r="D35" s="326"/>
      <c r="E35" s="326"/>
      <c r="F35" s="326"/>
      <c r="G35" s="327" t="s">
        <v>209</v>
      </c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8">
        <v>3</v>
      </c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330"/>
      <c r="DZ35" s="331"/>
      <c r="EA35" s="331"/>
      <c r="EB35" s="331"/>
      <c r="EC35" s="331"/>
      <c r="ED35" s="331"/>
      <c r="EE35" s="331"/>
      <c r="EF35" s="331"/>
      <c r="EG35" s="331"/>
      <c r="EH35" s="331"/>
      <c r="EI35" s="331"/>
      <c r="EJ35" s="331"/>
      <c r="EK35" s="331"/>
      <c r="EL35" s="331"/>
      <c r="EM35" s="331"/>
      <c r="EN35" s="332"/>
      <c r="EO35" s="329">
        <f>Y35*AO35*12</f>
        <v>0</v>
      </c>
      <c r="EP35" s="329"/>
      <c r="EQ35" s="329"/>
      <c r="ER35" s="329"/>
      <c r="ES35" s="329"/>
      <c r="ET35" s="329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2.75">
      <c r="A36" s="326" t="s">
        <v>201</v>
      </c>
      <c r="B36" s="326"/>
      <c r="C36" s="326"/>
      <c r="D36" s="326"/>
      <c r="E36" s="326"/>
      <c r="F36" s="326"/>
      <c r="G36" s="327" t="s">
        <v>383</v>
      </c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8">
        <v>1</v>
      </c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330"/>
      <c r="DZ36" s="331"/>
      <c r="EA36" s="331"/>
      <c r="EB36" s="331"/>
      <c r="EC36" s="331"/>
      <c r="ED36" s="331"/>
      <c r="EE36" s="331"/>
      <c r="EF36" s="331"/>
      <c r="EG36" s="331"/>
      <c r="EH36" s="331"/>
      <c r="EI36" s="331"/>
      <c r="EJ36" s="331"/>
      <c r="EK36" s="331"/>
      <c r="EL36" s="331"/>
      <c r="EM36" s="331"/>
      <c r="EN36" s="332"/>
      <c r="EO36" s="329">
        <f t="shared" si="0"/>
        <v>0</v>
      </c>
      <c r="EP36" s="329"/>
      <c r="EQ36" s="329"/>
      <c r="ER36" s="329"/>
      <c r="ES36" s="329"/>
      <c r="ET36" s="329"/>
      <c r="EU36" s="329"/>
      <c r="EV36" s="329"/>
      <c r="EW36" s="329"/>
      <c r="EX36" s="329"/>
      <c r="EY36" s="329"/>
      <c r="EZ36" s="329"/>
      <c r="FA36" s="329"/>
      <c r="FB36" s="329"/>
      <c r="FC36" s="329"/>
      <c r="FD36" s="329"/>
      <c r="FE36" s="329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" customHeight="1">
      <c r="A37" s="335" t="s">
        <v>210</v>
      </c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7"/>
      <c r="Y37" s="338">
        <f>SUM(Y22:AN36)</f>
        <v>42.78</v>
      </c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3">
        <f>SUM(AO22:BE36)</f>
        <v>0</v>
      </c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>
        <f>SUM(BF22:BW36)</f>
        <v>0</v>
      </c>
      <c r="BG37" s="333"/>
      <c r="BH37" s="333"/>
      <c r="BI37" s="333"/>
      <c r="BJ37" s="333"/>
      <c r="BK37" s="333"/>
      <c r="BL37" s="3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  <c r="BW37" s="333"/>
      <c r="BX37" s="333">
        <f>SUM(BX22:CP36)</f>
        <v>0</v>
      </c>
      <c r="BY37" s="333"/>
      <c r="BZ37" s="333"/>
      <c r="CA37" s="333"/>
      <c r="CB37" s="333"/>
      <c r="CC37" s="333"/>
      <c r="CD37" s="333"/>
      <c r="CE37" s="333"/>
      <c r="CF37" s="333"/>
      <c r="CG37" s="333"/>
      <c r="CH37" s="333"/>
      <c r="CI37" s="333"/>
      <c r="CJ37" s="333"/>
      <c r="CK37" s="333"/>
      <c r="CL37" s="333"/>
      <c r="CM37" s="333"/>
      <c r="CN37" s="333"/>
      <c r="CO37" s="333"/>
      <c r="CP37" s="333"/>
      <c r="CQ37" s="333">
        <f>SUM(CQ22:DH36)</f>
        <v>0</v>
      </c>
      <c r="CR37" s="333"/>
      <c r="CS37" s="333"/>
      <c r="CT37" s="333"/>
      <c r="CU37" s="333"/>
      <c r="CV37" s="333"/>
      <c r="CW37" s="333"/>
      <c r="CX37" s="333"/>
      <c r="CY37" s="333"/>
      <c r="CZ37" s="333"/>
      <c r="DA37" s="333"/>
      <c r="DB37" s="333"/>
      <c r="DC37" s="333"/>
      <c r="DD37" s="333"/>
      <c r="DE37" s="333"/>
      <c r="DF37" s="333"/>
      <c r="DG37" s="333"/>
      <c r="DH37" s="333"/>
      <c r="DI37" s="333">
        <f>SUM(DI22:DX36)</f>
        <v>0</v>
      </c>
      <c r="DJ37" s="333"/>
      <c r="DK37" s="333"/>
      <c r="DL37" s="333"/>
      <c r="DM37" s="333"/>
      <c r="DN37" s="333"/>
      <c r="DO37" s="333"/>
      <c r="DP37" s="333"/>
      <c r="DQ37" s="333"/>
      <c r="DR37" s="333"/>
      <c r="DS37" s="333"/>
      <c r="DT37" s="333"/>
      <c r="DU37" s="333"/>
      <c r="DV37" s="333"/>
      <c r="DW37" s="333"/>
      <c r="DX37" s="333"/>
      <c r="DY37" s="333">
        <f>SUM(DY22:EN36)</f>
        <v>0</v>
      </c>
      <c r="DZ37" s="333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4">
        <f>11338425</f>
        <v>11338425</v>
      </c>
      <c r="EP37" s="334"/>
      <c r="EQ37" s="334"/>
      <c r="ER37" s="334"/>
      <c r="ES37" s="334"/>
      <c r="ET37" s="334"/>
      <c r="EU37" s="334"/>
      <c r="EV37" s="334"/>
      <c r="EW37" s="334"/>
      <c r="EX37" s="334"/>
      <c r="EY37" s="334"/>
      <c r="EZ37" s="334"/>
      <c r="FA37" s="334"/>
      <c r="FB37" s="334"/>
      <c r="FC37" s="334"/>
      <c r="FD37" s="334"/>
      <c r="FE37" s="334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45:161" ht="12.75">
      <c r="EO38" s="293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</row>
  </sheetData>
  <sheetProtection/>
  <mergeCells count="189">
    <mergeCell ref="DI37:DX37"/>
    <mergeCell ref="CQ35:DH35"/>
    <mergeCell ref="EO37:FE37"/>
    <mergeCell ref="DY35:EN35"/>
    <mergeCell ref="EO35:FE35"/>
    <mergeCell ref="A37:X37"/>
    <mergeCell ref="Y37:AN37"/>
    <mergeCell ref="AO37:BE37"/>
    <mergeCell ref="BF37:BW37"/>
    <mergeCell ref="BX37:CP37"/>
    <mergeCell ref="CQ37:DH37"/>
    <mergeCell ref="CQ34:DH34"/>
    <mergeCell ref="DY37:EN37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2:DH32"/>
    <mergeCell ref="DI35:DX35"/>
    <mergeCell ref="DY32:EN32"/>
    <mergeCell ref="EO32:FE32"/>
    <mergeCell ref="A34:F34"/>
    <mergeCell ref="G34:X34"/>
    <mergeCell ref="Y34:AN34"/>
    <mergeCell ref="AO34:BE34"/>
    <mergeCell ref="BF34:BW34"/>
    <mergeCell ref="BX34:CP34"/>
    <mergeCell ref="CQ33:DH33"/>
    <mergeCell ref="DI34:DX34"/>
    <mergeCell ref="DY33:EN33"/>
    <mergeCell ref="EO33:FE33"/>
    <mergeCell ref="A32:F32"/>
    <mergeCell ref="G32:X32"/>
    <mergeCell ref="Y32:AN32"/>
    <mergeCell ref="AO32:BE32"/>
    <mergeCell ref="BF32:BW32"/>
    <mergeCell ref="BX32:CP32"/>
    <mergeCell ref="CQ36:DH36"/>
    <mergeCell ref="DI32:DX32"/>
    <mergeCell ref="DY36:EN36"/>
    <mergeCell ref="EO36:FE36"/>
    <mergeCell ref="A33:F33"/>
    <mergeCell ref="G33:X33"/>
    <mergeCell ref="Y33:AN33"/>
    <mergeCell ref="AO33:BE33"/>
    <mergeCell ref="BF33:BW33"/>
    <mergeCell ref="BX33:CP33"/>
    <mergeCell ref="CQ31:DH31"/>
    <mergeCell ref="DI33:DX33"/>
    <mergeCell ref="DY31:EN31"/>
    <mergeCell ref="EO31:FE31"/>
    <mergeCell ref="A36:F36"/>
    <mergeCell ref="G36:X36"/>
    <mergeCell ref="Y36:AN36"/>
    <mergeCell ref="AO36:BE36"/>
    <mergeCell ref="BF36:BW36"/>
    <mergeCell ref="BX36:CP36"/>
    <mergeCell ref="CQ30:DH30"/>
    <mergeCell ref="DI36:DX36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29:DH29"/>
    <mergeCell ref="DI31:DX31"/>
    <mergeCell ref="DY29:EN29"/>
    <mergeCell ref="EO29:FE29"/>
    <mergeCell ref="A30:F30"/>
    <mergeCell ref="G30:X30"/>
    <mergeCell ref="Y30:AN30"/>
    <mergeCell ref="AO30:BE30"/>
    <mergeCell ref="BF30:BW30"/>
    <mergeCell ref="BX30:CP30"/>
    <mergeCell ref="CQ28:DH28"/>
    <mergeCell ref="DI30:DX30"/>
    <mergeCell ref="DY28:EN28"/>
    <mergeCell ref="EO28:FE28"/>
    <mergeCell ref="A29:F29"/>
    <mergeCell ref="G29:X29"/>
    <mergeCell ref="Y29:AN29"/>
    <mergeCell ref="AO29:BE29"/>
    <mergeCell ref="BF29:BW29"/>
    <mergeCell ref="BX29:CP29"/>
    <mergeCell ref="CQ27:DH27"/>
    <mergeCell ref="DI29:DX29"/>
    <mergeCell ref="DY27:EN27"/>
    <mergeCell ref="EO27:FE27"/>
    <mergeCell ref="A28:F28"/>
    <mergeCell ref="G28:X28"/>
    <mergeCell ref="Y28:AN28"/>
    <mergeCell ref="AO28:BE28"/>
    <mergeCell ref="BF28:BW28"/>
    <mergeCell ref="BX28:CP28"/>
    <mergeCell ref="DI27:DX27"/>
    <mergeCell ref="DY26:EN26"/>
    <mergeCell ref="EO26:FE26"/>
    <mergeCell ref="DI28:DX28"/>
    <mergeCell ref="A27:F27"/>
    <mergeCell ref="G27:X27"/>
    <mergeCell ref="Y27:AN27"/>
    <mergeCell ref="AO27:BE27"/>
    <mergeCell ref="BF27:BW27"/>
    <mergeCell ref="BX27:CP27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A21:F21"/>
    <mergeCell ref="G21:X21"/>
    <mergeCell ref="Y21:AN21"/>
    <mergeCell ref="AO21:BE21"/>
    <mergeCell ref="BF21:BW21"/>
    <mergeCell ref="BX21:CP21"/>
    <mergeCell ref="EO18:FE20"/>
    <mergeCell ref="AO19:BE20"/>
    <mergeCell ref="BF19:DH19"/>
    <mergeCell ref="BF20:BW20"/>
    <mergeCell ref="BX20:CP20"/>
    <mergeCell ref="CQ20:DH20"/>
    <mergeCell ref="DA2:FE2"/>
    <mergeCell ref="A8:FE8"/>
    <mergeCell ref="A10:FE10"/>
    <mergeCell ref="X12:FE12"/>
    <mergeCell ref="A14:AO14"/>
    <mergeCell ref="AP14:FE14"/>
    <mergeCell ref="DI25:DX25"/>
    <mergeCell ref="EO38:FE38"/>
    <mergeCell ref="A16:FE16"/>
    <mergeCell ref="A18:F20"/>
    <mergeCell ref="G18:X20"/>
    <mergeCell ref="Y18:AN20"/>
    <mergeCell ref="AO18:DH18"/>
    <mergeCell ref="CQ21:DH21"/>
    <mergeCell ref="DI18:DX20"/>
    <mergeCell ref="DY18:EN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7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V83"/>
  <sheetViews>
    <sheetView view="pageBreakPreview" zoomScale="91" zoomScaleSheetLayoutView="91" zoomScalePageLayoutView="0" workbookViewId="0" topLeftCell="A1">
      <selection activeCell="CD27" sqref="CD27"/>
    </sheetView>
  </sheetViews>
  <sheetFormatPr defaultColWidth="1.12109375" defaultRowHeight="12.75"/>
  <cols>
    <col min="1" max="1" width="7.75390625" style="7" customWidth="1"/>
    <col min="2" max="79" width="1.12109375" style="7" customWidth="1"/>
    <col min="80" max="80" width="10.00390625" style="7" customWidth="1"/>
    <col min="81" max="82" width="19.875" style="55" customWidth="1"/>
    <col min="83" max="83" width="26.625" style="55" customWidth="1"/>
    <col min="84" max="84" width="29.25390625" style="15" customWidth="1"/>
    <col min="85" max="105" width="10.875" style="15" customWidth="1"/>
    <col min="106" max="119" width="1.12109375" style="15" customWidth="1"/>
    <col min="120" max="16384" width="1.12109375" style="7" customWidth="1"/>
  </cols>
  <sheetData>
    <row r="1" spans="1:119" s="3" customFormat="1" ht="15.75">
      <c r="A1" s="363" t="s">
        <v>12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191"/>
      <c r="CD1" s="191"/>
      <c r="CE1" s="191"/>
      <c r="CF1" s="189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</row>
    <row r="2" spans="1:126" s="1" customFormat="1" ht="15.75">
      <c r="A2" s="3" t="s">
        <v>2</v>
      </c>
      <c r="T2" s="345" t="s">
        <v>135</v>
      </c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AY2" s="345"/>
      <c r="AZ2" s="345"/>
      <c r="BA2" s="345"/>
      <c r="BB2" s="345"/>
      <c r="BC2" s="345"/>
      <c r="BD2" s="345"/>
      <c r="BE2" s="345"/>
      <c r="BF2" s="345"/>
      <c r="BG2" s="345"/>
      <c r="BH2" s="345"/>
      <c r="BI2" s="345"/>
      <c r="BJ2" s="345"/>
      <c r="BK2" s="345"/>
      <c r="BL2" s="345"/>
      <c r="BM2" s="345"/>
      <c r="BN2" s="345"/>
      <c r="BO2" s="345"/>
      <c r="BP2" s="345"/>
      <c r="BQ2" s="345"/>
      <c r="BR2" s="345"/>
      <c r="BS2" s="345"/>
      <c r="BT2" s="345"/>
      <c r="BU2" s="345"/>
      <c r="BV2" s="345"/>
      <c r="BW2" s="345"/>
      <c r="BX2" s="345"/>
      <c r="BY2" s="345"/>
      <c r="BZ2" s="345"/>
      <c r="CA2" s="345"/>
      <c r="CB2" s="345"/>
      <c r="CC2" s="193"/>
      <c r="CD2" s="193"/>
      <c r="CE2" s="193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9"/>
      <c r="DV2" s="12"/>
    </row>
    <row r="3" spans="1:126" s="4" customFormat="1" ht="9.75">
      <c r="A3" s="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194"/>
      <c r="CD3" s="194"/>
      <c r="CE3" s="194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V3" s="13"/>
    </row>
    <row r="4" spans="1:126" s="1" customFormat="1" ht="15" customHeight="1">
      <c r="A4" s="3" t="s">
        <v>3</v>
      </c>
      <c r="AH4" s="346" t="s">
        <v>134</v>
      </c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195"/>
      <c r="CD4" s="195"/>
      <c r="CE4" s="195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2"/>
      <c r="DV4" s="12"/>
    </row>
    <row r="5" spans="81:119" s="4" customFormat="1" ht="8.25">
      <c r="CC5" s="196"/>
      <c r="CD5" s="196"/>
      <c r="CE5" s="196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1:83" ht="12.75">
      <c r="A6" s="364" t="s">
        <v>5</v>
      </c>
      <c r="B6" s="365"/>
      <c r="C6" s="365"/>
      <c r="D6" s="368"/>
      <c r="E6" s="364" t="s">
        <v>13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8"/>
      <c r="AJ6" s="364" t="s">
        <v>14</v>
      </c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8"/>
      <c r="AX6" s="364" t="s">
        <v>18</v>
      </c>
      <c r="AY6" s="365"/>
      <c r="AZ6" s="365"/>
      <c r="BA6" s="365"/>
      <c r="BB6" s="365"/>
      <c r="BC6" s="365"/>
      <c r="BD6" s="365"/>
      <c r="BE6" s="365"/>
      <c r="BF6" s="368"/>
      <c r="BG6" s="364" t="s">
        <v>18</v>
      </c>
      <c r="BH6" s="365"/>
      <c r="BI6" s="365"/>
      <c r="BJ6" s="365"/>
      <c r="BK6" s="365"/>
      <c r="BL6" s="365"/>
      <c r="BM6" s="365"/>
      <c r="BN6" s="365"/>
      <c r="BO6" s="368"/>
      <c r="BP6" s="364" t="s">
        <v>22</v>
      </c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192"/>
      <c r="CD6" s="192"/>
      <c r="CE6" s="192"/>
    </row>
    <row r="7" spans="1:83" ht="12.75">
      <c r="A7" s="366" t="s">
        <v>6</v>
      </c>
      <c r="B7" s="367"/>
      <c r="C7" s="367"/>
      <c r="D7" s="369"/>
      <c r="E7" s="366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9"/>
      <c r="AJ7" s="366" t="s">
        <v>15</v>
      </c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9"/>
      <c r="AX7" s="366" t="s">
        <v>19</v>
      </c>
      <c r="AY7" s="367"/>
      <c r="AZ7" s="367"/>
      <c r="BA7" s="367"/>
      <c r="BB7" s="367"/>
      <c r="BC7" s="367"/>
      <c r="BD7" s="367"/>
      <c r="BE7" s="367"/>
      <c r="BF7" s="369"/>
      <c r="BG7" s="366" t="s">
        <v>21</v>
      </c>
      <c r="BH7" s="367"/>
      <c r="BI7" s="367"/>
      <c r="BJ7" s="367"/>
      <c r="BK7" s="367"/>
      <c r="BL7" s="367"/>
      <c r="BM7" s="367"/>
      <c r="BN7" s="367"/>
      <c r="BO7" s="369"/>
      <c r="BP7" s="366" t="s">
        <v>88</v>
      </c>
      <c r="BQ7" s="367"/>
      <c r="BR7" s="367"/>
      <c r="BS7" s="367"/>
      <c r="BT7" s="367"/>
      <c r="BU7" s="367"/>
      <c r="BV7" s="367"/>
      <c r="BW7" s="367"/>
      <c r="BX7" s="367"/>
      <c r="BY7" s="367"/>
      <c r="BZ7" s="367"/>
      <c r="CA7" s="367"/>
      <c r="CB7" s="367"/>
      <c r="CC7" s="192"/>
      <c r="CD7" s="192"/>
      <c r="CE7" s="192"/>
    </row>
    <row r="8" spans="1:83" ht="12.75">
      <c r="A8" s="366"/>
      <c r="B8" s="367"/>
      <c r="C8" s="367"/>
      <c r="D8" s="369"/>
      <c r="E8" s="36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9"/>
      <c r="AJ8" s="366" t="s">
        <v>16</v>
      </c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9"/>
      <c r="AX8" s="366" t="s">
        <v>20</v>
      </c>
      <c r="AY8" s="367"/>
      <c r="AZ8" s="367"/>
      <c r="BA8" s="367"/>
      <c r="BB8" s="367"/>
      <c r="BC8" s="367"/>
      <c r="BD8" s="367"/>
      <c r="BE8" s="367"/>
      <c r="BF8" s="369"/>
      <c r="BG8" s="366"/>
      <c r="BH8" s="367"/>
      <c r="BI8" s="367"/>
      <c r="BJ8" s="367"/>
      <c r="BK8" s="367"/>
      <c r="BL8" s="367"/>
      <c r="BM8" s="367"/>
      <c r="BN8" s="367"/>
      <c r="BO8" s="369"/>
      <c r="BP8" s="366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192"/>
      <c r="CD8" s="192"/>
      <c r="CE8" s="192"/>
    </row>
    <row r="9" spans="1:83" ht="12.75">
      <c r="A9" s="339"/>
      <c r="B9" s="340"/>
      <c r="C9" s="340"/>
      <c r="D9" s="341"/>
      <c r="E9" s="339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1"/>
      <c r="AJ9" s="339" t="s">
        <v>17</v>
      </c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1"/>
      <c r="AX9" s="339"/>
      <c r="AY9" s="340"/>
      <c r="AZ9" s="340"/>
      <c r="BA9" s="340"/>
      <c r="BB9" s="340"/>
      <c r="BC9" s="340"/>
      <c r="BD9" s="340"/>
      <c r="BE9" s="340"/>
      <c r="BF9" s="341"/>
      <c r="BG9" s="339"/>
      <c r="BH9" s="340"/>
      <c r="BI9" s="340"/>
      <c r="BJ9" s="340"/>
      <c r="BK9" s="340"/>
      <c r="BL9" s="340"/>
      <c r="BM9" s="340"/>
      <c r="BN9" s="340"/>
      <c r="BO9" s="341"/>
      <c r="BP9" s="339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192"/>
      <c r="CD9" s="192"/>
      <c r="CE9" s="192"/>
    </row>
    <row r="10" spans="1:84" ht="15.75">
      <c r="A10" s="339">
        <v>1</v>
      </c>
      <c r="B10" s="340"/>
      <c r="C10" s="340"/>
      <c r="D10" s="341"/>
      <c r="E10" s="339">
        <v>2</v>
      </c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1"/>
      <c r="AJ10" s="339">
        <v>3</v>
      </c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1"/>
      <c r="AX10" s="339">
        <v>4</v>
      </c>
      <c r="AY10" s="340"/>
      <c r="AZ10" s="340"/>
      <c r="BA10" s="340"/>
      <c r="BB10" s="340"/>
      <c r="BC10" s="340"/>
      <c r="BD10" s="340"/>
      <c r="BE10" s="340"/>
      <c r="BF10" s="341"/>
      <c r="BG10" s="339">
        <v>5</v>
      </c>
      <c r="BH10" s="340"/>
      <c r="BI10" s="340"/>
      <c r="BJ10" s="340"/>
      <c r="BK10" s="340"/>
      <c r="BL10" s="340"/>
      <c r="BM10" s="340"/>
      <c r="BN10" s="340"/>
      <c r="BO10" s="341"/>
      <c r="BP10" s="339">
        <v>6</v>
      </c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1"/>
      <c r="CC10" s="54" t="s">
        <v>153</v>
      </c>
      <c r="CD10" s="54" t="s">
        <v>211</v>
      </c>
      <c r="CE10" s="54" t="s">
        <v>411</v>
      </c>
      <c r="CF10" s="201" t="s">
        <v>390</v>
      </c>
    </row>
    <row r="11" spans="1:84" ht="12.75">
      <c r="A11" s="342"/>
      <c r="B11" s="343"/>
      <c r="C11" s="343"/>
      <c r="D11" s="344"/>
      <c r="E11" s="342" t="s">
        <v>131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4"/>
      <c r="AJ11" s="347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9"/>
      <c r="AX11" s="347"/>
      <c r="AY11" s="348"/>
      <c r="AZ11" s="348"/>
      <c r="BA11" s="348"/>
      <c r="BB11" s="348"/>
      <c r="BC11" s="348"/>
      <c r="BD11" s="348"/>
      <c r="BE11" s="348"/>
      <c r="BF11" s="349"/>
      <c r="BG11" s="347"/>
      <c r="BH11" s="348"/>
      <c r="BI11" s="348"/>
      <c r="BJ11" s="348"/>
      <c r="BK11" s="348"/>
      <c r="BL11" s="348"/>
      <c r="BM11" s="348"/>
      <c r="BN11" s="348"/>
      <c r="BO11" s="349"/>
      <c r="BP11" s="357">
        <f>10000</f>
        <v>10000</v>
      </c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9"/>
      <c r="CC11" s="205"/>
      <c r="CD11" s="55">
        <v>2900</v>
      </c>
      <c r="CE11" s="55">
        <f>BP11-CD11</f>
        <v>7100</v>
      </c>
      <c r="CF11" s="202"/>
    </row>
    <row r="12" spans="1:119" s="31" customFormat="1" ht="12.75">
      <c r="A12" s="374"/>
      <c r="B12" s="375"/>
      <c r="C12" s="375"/>
      <c r="D12" s="376"/>
      <c r="E12" s="374" t="s">
        <v>154</v>
      </c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5"/>
      <c r="Z12" s="375"/>
      <c r="AA12" s="375"/>
      <c r="AB12" s="375"/>
      <c r="AC12" s="375"/>
      <c r="AD12" s="375"/>
      <c r="AE12" s="375"/>
      <c r="AF12" s="375"/>
      <c r="AG12" s="375"/>
      <c r="AH12" s="375"/>
      <c r="AI12" s="376"/>
      <c r="AJ12" s="377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9"/>
      <c r="AX12" s="377"/>
      <c r="AY12" s="378"/>
      <c r="AZ12" s="378"/>
      <c r="BA12" s="378"/>
      <c r="BB12" s="378"/>
      <c r="BC12" s="378"/>
      <c r="BD12" s="378"/>
      <c r="BE12" s="378"/>
      <c r="BF12" s="379"/>
      <c r="BG12" s="377"/>
      <c r="BH12" s="378"/>
      <c r="BI12" s="378"/>
      <c r="BJ12" s="378"/>
      <c r="BK12" s="378"/>
      <c r="BL12" s="378"/>
      <c r="BM12" s="378"/>
      <c r="BN12" s="378"/>
      <c r="BO12" s="379"/>
      <c r="BP12" s="370"/>
      <c r="BQ12" s="371"/>
      <c r="BR12" s="371"/>
      <c r="BS12" s="371"/>
      <c r="BT12" s="371"/>
      <c r="BU12" s="371"/>
      <c r="BV12" s="371"/>
      <c r="BW12" s="371"/>
      <c r="BX12" s="371"/>
      <c r="BY12" s="371"/>
      <c r="BZ12" s="371"/>
      <c r="CA12" s="371"/>
      <c r="CB12" s="371"/>
      <c r="CC12" s="199"/>
      <c r="CD12" s="199"/>
      <c r="CE12" s="199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</row>
    <row r="13" spans="1:119" s="17" customFormat="1" ht="12.75">
      <c r="A13" s="443"/>
      <c r="B13" s="444"/>
      <c r="C13" s="444"/>
      <c r="D13" s="445"/>
      <c r="E13" s="432" t="s">
        <v>10</v>
      </c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4"/>
      <c r="AJ13" s="360" t="s">
        <v>11</v>
      </c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2"/>
      <c r="AX13" s="360" t="s">
        <v>11</v>
      </c>
      <c r="AY13" s="361"/>
      <c r="AZ13" s="361"/>
      <c r="BA13" s="361"/>
      <c r="BB13" s="361"/>
      <c r="BC13" s="361"/>
      <c r="BD13" s="361"/>
      <c r="BE13" s="361"/>
      <c r="BF13" s="362"/>
      <c r="BG13" s="360" t="s">
        <v>11</v>
      </c>
      <c r="BH13" s="361"/>
      <c r="BI13" s="361"/>
      <c r="BJ13" s="361"/>
      <c r="BK13" s="361"/>
      <c r="BL13" s="361"/>
      <c r="BM13" s="361"/>
      <c r="BN13" s="361"/>
      <c r="BO13" s="362"/>
      <c r="BP13" s="372">
        <f>BP11+BP12</f>
        <v>10000</v>
      </c>
      <c r="BQ13" s="373"/>
      <c r="BR13" s="373"/>
      <c r="BS13" s="373"/>
      <c r="BT13" s="373"/>
      <c r="BU13" s="373"/>
      <c r="BV13" s="373"/>
      <c r="BW13" s="373"/>
      <c r="BX13" s="373"/>
      <c r="BY13" s="373"/>
      <c r="BZ13" s="373"/>
      <c r="CA13" s="373"/>
      <c r="CB13" s="373"/>
      <c r="CC13" s="200"/>
      <c r="CD13" s="200"/>
      <c r="CE13" s="200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</row>
    <row r="14" spans="81:119" s="1" customFormat="1" ht="15.75">
      <c r="CC14" s="190"/>
      <c r="CD14" s="190"/>
      <c r="CE14" s="190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</row>
    <row r="15" spans="1:119" s="3" customFormat="1" ht="15.75">
      <c r="A15" s="363" t="s">
        <v>108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191"/>
      <c r="CD15" s="191"/>
      <c r="CE15" s="191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</row>
    <row r="16" spans="81:119" s="4" customFormat="1" ht="8.25">
      <c r="CC16" s="196"/>
      <c r="CD16" s="196"/>
      <c r="CE16" s="196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</row>
    <row r="17" spans="1:83" ht="12.75">
      <c r="A17" s="364" t="s">
        <v>5</v>
      </c>
      <c r="B17" s="365"/>
      <c r="C17" s="365"/>
      <c r="D17" s="368"/>
      <c r="E17" s="364" t="s">
        <v>13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8"/>
      <c r="AJ17" s="364" t="s">
        <v>23</v>
      </c>
      <c r="AK17" s="365"/>
      <c r="AL17" s="365"/>
      <c r="AM17" s="365"/>
      <c r="AN17" s="365"/>
      <c r="AO17" s="365"/>
      <c r="AP17" s="365"/>
      <c r="AQ17" s="365"/>
      <c r="AR17" s="365"/>
      <c r="AS17" s="365"/>
      <c r="AT17" s="368"/>
      <c r="AU17" s="364" t="s">
        <v>18</v>
      </c>
      <c r="AV17" s="365"/>
      <c r="AW17" s="365"/>
      <c r="AX17" s="365"/>
      <c r="AY17" s="365"/>
      <c r="AZ17" s="365"/>
      <c r="BA17" s="365"/>
      <c r="BB17" s="365"/>
      <c r="BC17" s="365"/>
      <c r="BD17" s="368"/>
      <c r="BE17" s="364" t="s">
        <v>29</v>
      </c>
      <c r="BF17" s="365"/>
      <c r="BG17" s="365"/>
      <c r="BH17" s="365"/>
      <c r="BI17" s="365"/>
      <c r="BJ17" s="365"/>
      <c r="BK17" s="365"/>
      <c r="BL17" s="365"/>
      <c r="BM17" s="365"/>
      <c r="BN17" s="365"/>
      <c r="BO17" s="368"/>
      <c r="BP17" s="364" t="s">
        <v>22</v>
      </c>
      <c r="BQ17" s="365"/>
      <c r="BR17" s="365"/>
      <c r="BS17" s="365"/>
      <c r="BT17" s="365"/>
      <c r="BU17" s="365"/>
      <c r="BV17" s="365"/>
      <c r="BW17" s="365"/>
      <c r="BX17" s="365"/>
      <c r="BY17" s="365"/>
      <c r="BZ17" s="365"/>
      <c r="CA17" s="365"/>
      <c r="CB17" s="365"/>
      <c r="CC17" s="192"/>
      <c r="CD17" s="192"/>
      <c r="CE17" s="192"/>
    </row>
    <row r="18" spans="1:83" ht="12.75">
      <c r="A18" s="366" t="s">
        <v>6</v>
      </c>
      <c r="B18" s="367"/>
      <c r="C18" s="367"/>
      <c r="D18" s="369"/>
      <c r="E18" s="366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9"/>
      <c r="AJ18" s="366" t="s">
        <v>19</v>
      </c>
      <c r="AK18" s="367"/>
      <c r="AL18" s="367"/>
      <c r="AM18" s="367"/>
      <c r="AN18" s="367"/>
      <c r="AO18" s="367"/>
      <c r="AP18" s="367"/>
      <c r="AQ18" s="367"/>
      <c r="AR18" s="367"/>
      <c r="AS18" s="367"/>
      <c r="AT18" s="369"/>
      <c r="AU18" s="366" t="s">
        <v>26</v>
      </c>
      <c r="AV18" s="367"/>
      <c r="AW18" s="367"/>
      <c r="AX18" s="367"/>
      <c r="AY18" s="367"/>
      <c r="AZ18" s="367"/>
      <c r="BA18" s="367"/>
      <c r="BB18" s="367"/>
      <c r="BC18" s="367"/>
      <c r="BD18" s="369"/>
      <c r="BE18" s="366" t="s">
        <v>30</v>
      </c>
      <c r="BF18" s="367"/>
      <c r="BG18" s="367"/>
      <c r="BH18" s="367"/>
      <c r="BI18" s="367"/>
      <c r="BJ18" s="367"/>
      <c r="BK18" s="367"/>
      <c r="BL18" s="367"/>
      <c r="BM18" s="367"/>
      <c r="BN18" s="367"/>
      <c r="BO18" s="369"/>
      <c r="BP18" s="366" t="s">
        <v>88</v>
      </c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192"/>
      <c r="CD18" s="192"/>
      <c r="CE18" s="192"/>
    </row>
    <row r="19" spans="1:83" ht="12.75">
      <c r="A19" s="366"/>
      <c r="B19" s="367"/>
      <c r="C19" s="367"/>
      <c r="D19" s="369"/>
      <c r="E19" s="366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9"/>
      <c r="AJ19" s="366" t="s">
        <v>24</v>
      </c>
      <c r="AK19" s="367"/>
      <c r="AL19" s="367"/>
      <c r="AM19" s="367"/>
      <c r="AN19" s="367"/>
      <c r="AO19" s="367"/>
      <c r="AP19" s="367"/>
      <c r="AQ19" s="367"/>
      <c r="AR19" s="367"/>
      <c r="AS19" s="367"/>
      <c r="AT19" s="369"/>
      <c r="AU19" s="366" t="s">
        <v>27</v>
      </c>
      <c r="AV19" s="367"/>
      <c r="AW19" s="367"/>
      <c r="AX19" s="367"/>
      <c r="AY19" s="367"/>
      <c r="AZ19" s="367"/>
      <c r="BA19" s="367"/>
      <c r="BB19" s="367"/>
      <c r="BC19" s="367"/>
      <c r="BD19" s="369"/>
      <c r="BE19" s="366" t="s">
        <v>32</v>
      </c>
      <c r="BF19" s="367"/>
      <c r="BG19" s="367"/>
      <c r="BH19" s="367"/>
      <c r="BI19" s="367"/>
      <c r="BJ19" s="367"/>
      <c r="BK19" s="367"/>
      <c r="BL19" s="367"/>
      <c r="BM19" s="367"/>
      <c r="BN19" s="367"/>
      <c r="BO19" s="369"/>
      <c r="BP19" s="366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192"/>
      <c r="CD19" s="192"/>
      <c r="CE19" s="192"/>
    </row>
    <row r="20" spans="1:83" ht="12.75">
      <c r="A20" s="339"/>
      <c r="B20" s="340"/>
      <c r="C20" s="340"/>
      <c r="D20" s="341"/>
      <c r="E20" s="339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1"/>
      <c r="AJ20" s="339" t="s">
        <v>25</v>
      </c>
      <c r="AK20" s="340"/>
      <c r="AL20" s="340"/>
      <c r="AM20" s="340"/>
      <c r="AN20" s="340"/>
      <c r="AO20" s="340"/>
      <c r="AP20" s="340"/>
      <c r="AQ20" s="340"/>
      <c r="AR20" s="340"/>
      <c r="AS20" s="340"/>
      <c r="AT20" s="341"/>
      <c r="AU20" s="339" t="s">
        <v>28</v>
      </c>
      <c r="AV20" s="340"/>
      <c r="AW20" s="340"/>
      <c r="AX20" s="340"/>
      <c r="AY20" s="340"/>
      <c r="AZ20" s="340"/>
      <c r="BA20" s="340"/>
      <c r="BB20" s="340"/>
      <c r="BC20" s="340"/>
      <c r="BD20" s="341"/>
      <c r="BE20" s="339" t="s">
        <v>31</v>
      </c>
      <c r="BF20" s="340"/>
      <c r="BG20" s="340"/>
      <c r="BH20" s="340"/>
      <c r="BI20" s="340"/>
      <c r="BJ20" s="340"/>
      <c r="BK20" s="340"/>
      <c r="BL20" s="340"/>
      <c r="BM20" s="340"/>
      <c r="BN20" s="340"/>
      <c r="BO20" s="341"/>
      <c r="BP20" s="339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192"/>
      <c r="CD20" s="192"/>
      <c r="CE20" s="192"/>
    </row>
    <row r="21" spans="1:84" ht="15.75">
      <c r="A21" s="339">
        <v>1</v>
      </c>
      <c r="B21" s="340"/>
      <c r="C21" s="340"/>
      <c r="D21" s="341"/>
      <c r="E21" s="339">
        <v>2</v>
      </c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1"/>
      <c r="AJ21" s="339">
        <v>3</v>
      </c>
      <c r="AK21" s="340"/>
      <c r="AL21" s="340"/>
      <c r="AM21" s="340"/>
      <c r="AN21" s="340"/>
      <c r="AO21" s="340"/>
      <c r="AP21" s="340"/>
      <c r="AQ21" s="340"/>
      <c r="AR21" s="340"/>
      <c r="AS21" s="340"/>
      <c r="AT21" s="341"/>
      <c r="AU21" s="339">
        <v>4</v>
      </c>
      <c r="AV21" s="340"/>
      <c r="AW21" s="340"/>
      <c r="AX21" s="340"/>
      <c r="AY21" s="340"/>
      <c r="AZ21" s="340"/>
      <c r="BA21" s="340"/>
      <c r="BB21" s="340"/>
      <c r="BC21" s="340"/>
      <c r="BD21" s="341"/>
      <c r="BE21" s="339">
        <v>5</v>
      </c>
      <c r="BF21" s="340"/>
      <c r="BG21" s="340"/>
      <c r="BH21" s="340"/>
      <c r="BI21" s="340"/>
      <c r="BJ21" s="340"/>
      <c r="BK21" s="340"/>
      <c r="BL21" s="340"/>
      <c r="BM21" s="340"/>
      <c r="BN21" s="340"/>
      <c r="BO21" s="341"/>
      <c r="BP21" s="339">
        <v>6</v>
      </c>
      <c r="BQ21" s="340"/>
      <c r="BR21" s="340"/>
      <c r="BS21" s="340"/>
      <c r="BT21" s="340"/>
      <c r="BU21" s="340"/>
      <c r="BV21" s="340"/>
      <c r="BW21" s="340"/>
      <c r="BX21" s="340"/>
      <c r="BY21" s="340"/>
      <c r="BZ21" s="340"/>
      <c r="CA21" s="340"/>
      <c r="CB21" s="341"/>
      <c r="CC21" s="54" t="s">
        <v>153</v>
      </c>
      <c r="CD21" s="54" t="s">
        <v>211</v>
      </c>
      <c r="CE21" s="54" t="s">
        <v>411</v>
      </c>
      <c r="CF21" s="201" t="s">
        <v>390</v>
      </c>
    </row>
    <row r="22" spans="1:119" s="64" customFormat="1" ht="12.75">
      <c r="A22" s="351"/>
      <c r="B22" s="352"/>
      <c r="C22" s="352"/>
      <c r="D22" s="353"/>
      <c r="E22" s="351" t="s">
        <v>165</v>
      </c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3"/>
      <c r="AJ22" s="354"/>
      <c r="AK22" s="355"/>
      <c r="AL22" s="355"/>
      <c r="AM22" s="355"/>
      <c r="AN22" s="355"/>
      <c r="AO22" s="355"/>
      <c r="AP22" s="355"/>
      <c r="AQ22" s="355"/>
      <c r="AR22" s="355"/>
      <c r="AS22" s="355"/>
      <c r="AT22" s="356"/>
      <c r="AU22" s="354"/>
      <c r="AV22" s="355"/>
      <c r="AW22" s="355"/>
      <c r="AX22" s="355"/>
      <c r="AY22" s="355"/>
      <c r="AZ22" s="355"/>
      <c r="BA22" s="355"/>
      <c r="BB22" s="355"/>
      <c r="BC22" s="355"/>
      <c r="BD22" s="356"/>
      <c r="BE22" s="354"/>
      <c r="BF22" s="355"/>
      <c r="BG22" s="355"/>
      <c r="BH22" s="355"/>
      <c r="BI22" s="355"/>
      <c r="BJ22" s="355"/>
      <c r="BK22" s="355"/>
      <c r="BL22" s="355"/>
      <c r="BM22" s="355"/>
      <c r="BN22" s="355"/>
      <c r="BO22" s="356"/>
      <c r="BP22" s="381">
        <f>129952-12952</f>
        <v>117000</v>
      </c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3"/>
      <c r="CC22" s="62"/>
      <c r="CD22" s="55">
        <f>9750+9750+9750+9750</f>
        <v>39000</v>
      </c>
      <c r="CE22" s="55">
        <f>BP22-CD22</f>
        <v>78000</v>
      </c>
      <c r="CF22" s="204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</row>
    <row r="23" spans="1:84" ht="12.75">
      <c r="A23" s="342"/>
      <c r="B23" s="343"/>
      <c r="C23" s="343"/>
      <c r="D23" s="344"/>
      <c r="E23" s="342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4"/>
      <c r="AJ23" s="347"/>
      <c r="AK23" s="348"/>
      <c r="AL23" s="348"/>
      <c r="AM23" s="348"/>
      <c r="AN23" s="348"/>
      <c r="AO23" s="348"/>
      <c r="AP23" s="348"/>
      <c r="AQ23" s="348"/>
      <c r="AR23" s="348"/>
      <c r="AS23" s="348"/>
      <c r="AT23" s="349"/>
      <c r="AU23" s="347"/>
      <c r="AV23" s="348"/>
      <c r="AW23" s="348"/>
      <c r="AX23" s="348"/>
      <c r="AY23" s="348"/>
      <c r="AZ23" s="348"/>
      <c r="BA23" s="348"/>
      <c r="BB23" s="348"/>
      <c r="BC23" s="348"/>
      <c r="BD23" s="349"/>
      <c r="BE23" s="347"/>
      <c r="BF23" s="348"/>
      <c r="BG23" s="348"/>
      <c r="BH23" s="348"/>
      <c r="BI23" s="348"/>
      <c r="BJ23" s="348"/>
      <c r="BK23" s="348"/>
      <c r="BL23" s="348"/>
      <c r="BM23" s="348"/>
      <c r="BN23" s="348"/>
      <c r="BO23" s="349"/>
      <c r="BP23" s="357"/>
      <c r="BQ23" s="358"/>
      <c r="BR23" s="358"/>
      <c r="BS23" s="358"/>
      <c r="BT23" s="358"/>
      <c r="BU23" s="358"/>
      <c r="BV23" s="358"/>
      <c r="BW23" s="358"/>
      <c r="BX23" s="358"/>
      <c r="BY23" s="358"/>
      <c r="BZ23" s="358"/>
      <c r="CA23" s="358"/>
      <c r="CB23" s="359"/>
      <c r="CF23" s="202"/>
    </row>
    <row r="24" spans="1:119" s="155" customFormat="1" ht="12.75">
      <c r="A24" s="443"/>
      <c r="B24" s="444"/>
      <c r="C24" s="444"/>
      <c r="D24" s="445"/>
      <c r="E24" s="432" t="s">
        <v>10</v>
      </c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4"/>
      <c r="AJ24" s="360" t="s">
        <v>11</v>
      </c>
      <c r="AK24" s="361"/>
      <c r="AL24" s="361"/>
      <c r="AM24" s="361"/>
      <c r="AN24" s="361"/>
      <c r="AO24" s="361"/>
      <c r="AP24" s="361"/>
      <c r="AQ24" s="361"/>
      <c r="AR24" s="361"/>
      <c r="AS24" s="361"/>
      <c r="AT24" s="362"/>
      <c r="AU24" s="360" t="s">
        <v>11</v>
      </c>
      <c r="AV24" s="361"/>
      <c r="AW24" s="361"/>
      <c r="AX24" s="361"/>
      <c r="AY24" s="361"/>
      <c r="AZ24" s="361"/>
      <c r="BA24" s="361"/>
      <c r="BB24" s="361"/>
      <c r="BC24" s="361"/>
      <c r="BD24" s="362"/>
      <c r="BE24" s="360" t="s">
        <v>11</v>
      </c>
      <c r="BF24" s="361"/>
      <c r="BG24" s="361"/>
      <c r="BH24" s="361"/>
      <c r="BI24" s="361"/>
      <c r="BJ24" s="361"/>
      <c r="BK24" s="361"/>
      <c r="BL24" s="361"/>
      <c r="BM24" s="361"/>
      <c r="BN24" s="361"/>
      <c r="BO24" s="362"/>
      <c r="BP24" s="372">
        <f>BP22</f>
        <v>117000</v>
      </c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80"/>
      <c r="CC24" s="203"/>
      <c r="CD24" s="203"/>
      <c r="CE24" s="203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</row>
    <row r="25" spans="81:119" s="1" customFormat="1" ht="15.75">
      <c r="CC25" s="190"/>
      <c r="CD25" s="190"/>
      <c r="CE25" s="190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</row>
    <row r="26" spans="1:119" s="3" customFormat="1" ht="15.75">
      <c r="A26" s="363" t="s">
        <v>33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63"/>
      <c r="BB26" s="363"/>
      <c r="BC26" s="363"/>
      <c r="BD26" s="363"/>
      <c r="BE26" s="363"/>
      <c r="BF26" s="363"/>
      <c r="BG26" s="363"/>
      <c r="BH26" s="363"/>
      <c r="BI26" s="363"/>
      <c r="BJ26" s="363"/>
      <c r="BK26" s="363"/>
      <c r="BL26" s="363"/>
      <c r="BM26" s="363"/>
      <c r="BN26" s="363"/>
      <c r="BO26" s="363"/>
      <c r="BP26" s="363"/>
      <c r="BQ26" s="363"/>
      <c r="BR26" s="363"/>
      <c r="BS26" s="363"/>
      <c r="BT26" s="363"/>
      <c r="BU26" s="363"/>
      <c r="BV26" s="363"/>
      <c r="BW26" s="363"/>
      <c r="BX26" s="363"/>
      <c r="BY26" s="363"/>
      <c r="BZ26" s="363"/>
      <c r="CA26" s="363"/>
      <c r="CB26" s="363"/>
      <c r="CC26" s="191"/>
      <c r="CD26" s="191"/>
      <c r="CE26" s="191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</row>
    <row r="27" spans="1:83" ht="15.75">
      <c r="A27" s="363" t="s">
        <v>34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192"/>
      <c r="CD27" s="192"/>
      <c r="CE27" s="192"/>
    </row>
    <row r="28" spans="1:83" ht="15.75">
      <c r="A28" s="363" t="s">
        <v>35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63"/>
      <c r="BB28" s="363"/>
      <c r="BC28" s="363"/>
      <c r="BD28" s="363"/>
      <c r="BE28" s="363"/>
      <c r="BF28" s="363"/>
      <c r="BG28" s="363"/>
      <c r="BH28" s="363"/>
      <c r="BI28" s="363"/>
      <c r="BJ28" s="363"/>
      <c r="BK28" s="363"/>
      <c r="BL28" s="363"/>
      <c r="BM28" s="363"/>
      <c r="BN28" s="363"/>
      <c r="BO28" s="363"/>
      <c r="BP28" s="363"/>
      <c r="BQ28" s="363"/>
      <c r="BR28" s="363"/>
      <c r="BS28" s="363"/>
      <c r="BT28" s="363"/>
      <c r="BU28" s="363"/>
      <c r="BV28" s="363"/>
      <c r="BW28" s="363"/>
      <c r="BX28" s="363"/>
      <c r="BY28" s="363"/>
      <c r="BZ28" s="363"/>
      <c r="CA28" s="363"/>
      <c r="CB28" s="363"/>
      <c r="CC28" s="192"/>
      <c r="CD28" s="192"/>
      <c r="CE28" s="192"/>
    </row>
    <row r="29" spans="1:126" s="1" customFormat="1" ht="15.75">
      <c r="A29" s="3" t="s">
        <v>2</v>
      </c>
      <c r="T29" s="345" t="s">
        <v>136</v>
      </c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193"/>
      <c r="CD29" s="193"/>
      <c r="CE29" s="193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9"/>
      <c r="DV29" s="12"/>
    </row>
    <row r="30" spans="1:126" s="4" customFormat="1" ht="9.75">
      <c r="A30" s="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194"/>
      <c r="CD30" s="194"/>
      <c r="CE30" s="194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V30" s="13"/>
    </row>
    <row r="31" spans="1:126" s="1" customFormat="1" ht="15" customHeight="1">
      <c r="A31" s="3" t="s">
        <v>3</v>
      </c>
      <c r="AH31" s="346" t="s">
        <v>134</v>
      </c>
      <c r="AI31" s="346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6"/>
      <c r="AZ31" s="346"/>
      <c r="BA31" s="346"/>
      <c r="BB31" s="346"/>
      <c r="BC31" s="346"/>
      <c r="BD31" s="346"/>
      <c r="BE31" s="346"/>
      <c r="BF31" s="346"/>
      <c r="BG31" s="346"/>
      <c r="BH31" s="346"/>
      <c r="BI31" s="346"/>
      <c r="BJ31" s="346"/>
      <c r="BK31" s="346"/>
      <c r="BL31" s="346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195"/>
      <c r="CD31" s="195"/>
      <c r="CE31" s="195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2"/>
      <c r="DV31" s="12"/>
    </row>
    <row r="32" spans="81:119" s="4" customFormat="1" ht="8.25">
      <c r="CC32" s="196"/>
      <c r="CD32" s="196"/>
      <c r="CE32" s="196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</row>
    <row r="33" spans="1:83" ht="12.75">
      <c r="A33" s="364" t="s">
        <v>5</v>
      </c>
      <c r="B33" s="365"/>
      <c r="C33" s="365"/>
      <c r="D33" s="368"/>
      <c r="E33" s="364" t="s">
        <v>36</v>
      </c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  <c r="BB33" s="365"/>
      <c r="BC33" s="365"/>
      <c r="BD33" s="368"/>
      <c r="BE33" s="387" t="s">
        <v>38</v>
      </c>
      <c r="BF33" s="388"/>
      <c r="BG33" s="388"/>
      <c r="BH33" s="388"/>
      <c r="BI33" s="388"/>
      <c r="BJ33" s="388"/>
      <c r="BK33" s="388"/>
      <c r="BL33" s="388"/>
      <c r="BM33" s="388"/>
      <c r="BN33" s="388"/>
      <c r="BO33" s="388"/>
      <c r="BP33" s="389"/>
      <c r="BQ33" s="364" t="s">
        <v>37</v>
      </c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192"/>
      <c r="CD33" s="192"/>
      <c r="CE33" s="192"/>
    </row>
    <row r="34" spans="1:83" ht="12.75">
      <c r="A34" s="366" t="s">
        <v>6</v>
      </c>
      <c r="B34" s="367"/>
      <c r="C34" s="367"/>
      <c r="D34" s="369"/>
      <c r="E34" s="366"/>
      <c r="F34" s="367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9"/>
      <c r="BE34" s="390" t="s">
        <v>39</v>
      </c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2"/>
      <c r="BQ34" s="366" t="s">
        <v>17</v>
      </c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192"/>
      <c r="CD34" s="192"/>
      <c r="CE34" s="192"/>
    </row>
    <row r="35" spans="1:83" ht="12.75">
      <c r="A35" s="366"/>
      <c r="B35" s="367"/>
      <c r="C35" s="367"/>
      <c r="D35" s="369"/>
      <c r="E35" s="366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9"/>
      <c r="BE35" s="390" t="s">
        <v>40</v>
      </c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2"/>
      <c r="BQ35" s="366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192"/>
      <c r="CD35" s="192"/>
      <c r="CE35" s="192"/>
    </row>
    <row r="36" spans="1:83" ht="12.75">
      <c r="A36" s="339"/>
      <c r="B36" s="340"/>
      <c r="C36" s="340"/>
      <c r="D36" s="341"/>
      <c r="E36" s="339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1"/>
      <c r="BE36" s="393" t="s">
        <v>109</v>
      </c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5"/>
      <c r="BQ36" s="339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192"/>
      <c r="CD36" s="192"/>
      <c r="CE36" s="192"/>
    </row>
    <row r="37" spans="1:83" ht="12.75">
      <c r="A37" s="396">
        <v>1</v>
      </c>
      <c r="B37" s="397"/>
      <c r="C37" s="397"/>
      <c r="D37" s="398"/>
      <c r="E37" s="396">
        <v>2</v>
      </c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8"/>
      <c r="BE37" s="384">
        <v>3</v>
      </c>
      <c r="BF37" s="385"/>
      <c r="BG37" s="385"/>
      <c r="BH37" s="385"/>
      <c r="BI37" s="385"/>
      <c r="BJ37" s="385"/>
      <c r="BK37" s="385"/>
      <c r="BL37" s="385"/>
      <c r="BM37" s="385"/>
      <c r="BN37" s="385"/>
      <c r="BO37" s="385"/>
      <c r="BP37" s="386"/>
      <c r="BQ37" s="396">
        <v>4</v>
      </c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192"/>
      <c r="CD37" s="192"/>
      <c r="CE37" s="192"/>
    </row>
    <row r="38" spans="1:109" ht="12.75">
      <c r="A38" s="384">
        <v>1</v>
      </c>
      <c r="B38" s="385"/>
      <c r="C38" s="385"/>
      <c r="D38" s="386"/>
      <c r="E38" s="401" t="s">
        <v>42</v>
      </c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3"/>
      <c r="BE38" s="384" t="s">
        <v>11</v>
      </c>
      <c r="BF38" s="385"/>
      <c r="BG38" s="385"/>
      <c r="BH38" s="385"/>
      <c r="BI38" s="385"/>
      <c r="BJ38" s="385"/>
      <c r="BK38" s="385"/>
      <c r="BL38" s="385"/>
      <c r="BM38" s="385"/>
      <c r="BN38" s="385"/>
      <c r="BO38" s="385"/>
      <c r="BP38" s="386"/>
      <c r="BQ38" s="399"/>
      <c r="BR38" s="400"/>
      <c r="BS38" s="400"/>
      <c r="BT38" s="400"/>
      <c r="BU38" s="400"/>
      <c r="BV38" s="400"/>
      <c r="BW38" s="400"/>
      <c r="BX38" s="400"/>
      <c r="BY38" s="400"/>
      <c r="BZ38" s="400"/>
      <c r="CA38" s="400"/>
      <c r="CB38" s="400"/>
      <c r="CC38" s="192"/>
      <c r="CD38" s="192"/>
      <c r="CE38" s="192"/>
      <c r="CH38" s="350">
        <v>8052075</v>
      </c>
      <c r="CI38" s="350"/>
      <c r="CJ38" s="350"/>
      <c r="CK38" s="350"/>
      <c r="CL38" s="350"/>
      <c r="CM38" s="350"/>
      <c r="CN38" s="350"/>
      <c r="CO38" s="350"/>
      <c r="CP38" s="350"/>
      <c r="CQ38" s="350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</row>
    <row r="39" spans="1:111" ht="12.75">
      <c r="A39" s="364" t="s">
        <v>41</v>
      </c>
      <c r="B39" s="365"/>
      <c r="C39" s="365"/>
      <c r="D39" s="368"/>
      <c r="E39" s="404" t="s">
        <v>9</v>
      </c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6"/>
      <c r="BE39" s="426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8"/>
      <c r="BQ39" s="419"/>
      <c r="BR39" s="420"/>
      <c r="BS39" s="420"/>
      <c r="BT39" s="420"/>
      <c r="BU39" s="420"/>
      <c r="BV39" s="420"/>
      <c r="BW39" s="420"/>
      <c r="BX39" s="420"/>
      <c r="BY39" s="420"/>
      <c r="BZ39" s="420"/>
      <c r="CA39" s="420"/>
      <c r="CB39" s="420"/>
      <c r="CC39" s="192"/>
      <c r="CD39" s="192"/>
      <c r="CE39" s="192"/>
      <c r="CG39" s="350"/>
      <c r="CH39" s="350"/>
      <c r="CI39" s="350"/>
      <c r="CJ39" s="350"/>
      <c r="CK39" s="350"/>
      <c r="CL39" s="350"/>
      <c r="CM39" s="350"/>
      <c r="CN39" s="350"/>
      <c r="CO39" s="350"/>
      <c r="CP39" s="350"/>
      <c r="CQ39" s="350"/>
      <c r="CR39" s="350"/>
      <c r="CS39" s="350"/>
      <c r="CT39" s="350"/>
      <c r="CU39" s="350"/>
      <c r="CV39" s="350"/>
      <c r="CW39" s="350"/>
      <c r="CX39" s="350"/>
      <c r="CY39" s="350"/>
      <c r="CZ39" s="350"/>
      <c r="DA39" s="350"/>
      <c r="DB39" s="350"/>
      <c r="DC39" s="350"/>
      <c r="DD39" s="350"/>
      <c r="DE39" s="350"/>
      <c r="DF39" s="350"/>
      <c r="DG39" s="350"/>
    </row>
    <row r="40" spans="1:83" ht="12.75">
      <c r="A40" s="339"/>
      <c r="B40" s="340"/>
      <c r="C40" s="340"/>
      <c r="D40" s="341"/>
      <c r="E40" s="410" t="s">
        <v>43</v>
      </c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2"/>
      <c r="BE40" s="347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9"/>
      <c r="BQ40" s="421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192"/>
      <c r="CD40" s="192"/>
      <c r="CE40" s="192"/>
    </row>
    <row r="41" spans="1:83" ht="12.75">
      <c r="A41" s="384" t="s">
        <v>45</v>
      </c>
      <c r="B41" s="385"/>
      <c r="C41" s="385"/>
      <c r="D41" s="386"/>
      <c r="E41" s="407" t="s">
        <v>44</v>
      </c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9"/>
      <c r="BE41" s="413"/>
      <c r="BF41" s="414"/>
      <c r="BG41" s="414"/>
      <c r="BH41" s="414"/>
      <c r="BI41" s="414"/>
      <c r="BJ41" s="414"/>
      <c r="BK41" s="414"/>
      <c r="BL41" s="414"/>
      <c r="BM41" s="414"/>
      <c r="BN41" s="414"/>
      <c r="BO41" s="414"/>
      <c r="BP41" s="415"/>
      <c r="BQ41" s="399"/>
      <c r="BR41" s="400"/>
      <c r="BS41" s="400"/>
      <c r="BT41" s="400"/>
      <c r="BU41" s="400"/>
      <c r="BV41" s="400"/>
      <c r="BW41" s="400"/>
      <c r="BX41" s="400"/>
      <c r="BY41" s="400"/>
      <c r="BZ41" s="400"/>
      <c r="CA41" s="400"/>
      <c r="CB41" s="400"/>
      <c r="CC41" s="192"/>
      <c r="CD41" s="192"/>
      <c r="CE41" s="192"/>
    </row>
    <row r="42" spans="1:83" ht="12.75">
      <c r="A42" s="364" t="s">
        <v>46</v>
      </c>
      <c r="B42" s="365"/>
      <c r="C42" s="365"/>
      <c r="D42" s="368"/>
      <c r="E42" s="404" t="s">
        <v>47</v>
      </c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6"/>
      <c r="BE42" s="426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8"/>
      <c r="BQ42" s="419"/>
      <c r="BR42" s="420"/>
      <c r="BS42" s="420"/>
      <c r="BT42" s="420"/>
      <c r="BU42" s="420"/>
      <c r="BV42" s="420"/>
      <c r="BW42" s="420"/>
      <c r="BX42" s="420"/>
      <c r="BY42" s="420"/>
      <c r="BZ42" s="420"/>
      <c r="CA42" s="420"/>
      <c r="CB42" s="420"/>
      <c r="CC42" s="192"/>
      <c r="CD42" s="192"/>
      <c r="CE42" s="192"/>
    </row>
    <row r="43" spans="1:83" ht="12.75">
      <c r="A43" s="339"/>
      <c r="B43" s="340"/>
      <c r="C43" s="340"/>
      <c r="D43" s="341"/>
      <c r="E43" s="410" t="s">
        <v>48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2"/>
      <c r="BE43" s="347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9"/>
      <c r="BQ43" s="421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192"/>
      <c r="CD43" s="192"/>
      <c r="CE43" s="192"/>
    </row>
    <row r="44" spans="1:83" ht="12.75">
      <c r="A44" s="364">
        <v>2</v>
      </c>
      <c r="B44" s="365"/>
      <c r="C44" s="365"/>
      <c r="D44" s="368"/>
      <c r="E44" s="416" t="s">
        <v>49</v>
      </c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  <c r="AA44" s="417"/>
      <c r="AB44" s="417"/>
      <c r="AC44" s="417"/>
      <c r="AD44" s="417"/>
      <c r="AE44" s="417"/>
      <c r="AF44" s="417"/>
      <c r="AG44" s="417"/>
      <c r="AH44" s="417"/>
      <c r="AI44" s="417"/>
      <c r="AJ44" s="417"/>
      <c r="AK44" s="417"/>
      <c r="AL44" s="417"/>
      <c r="AM44" s="417"/>
      <c r="AN44" s="417"/>
      <c r="AO44" s="417"/>
      <c r="AP44" s="417"/>
      <c r="AQ44" s="417"/>
      <c r="AR44" s="417"/>
      <c r="AS44" s="417"/>
      <c r="AT44" s="417"/>
      <c r="AU44" s="417"/>
      <c r="AV44" s="417"/>
      <c r="AW44" s="417"/>
      <c r="AX44" s="417"/>
      <c r="AY44" s="417"/>
      <c r="AZ44" s="417"/>
      <c r="BA44" s="417"/>
      <c r="BB44" s="417"/>
      <c r="BC44" s="417"/>
      <c r="BD44" s="418"/>
      <c r="BE44" s="387" t="s">
        <v>11</v>
      </c>
      <c r="BF44" s="388"/>
      <c r="BG44" s="388"/>
      <c r="BH44" s="388"/>
      <c r="BI44" s="388"/>
      <c r="BJ44" s="388"/>
      <c r="BK44" s="388"/>
      <c r="BL44" s="388"/>
      <c r="BM44" s="388"/>
      <c r="BN44" s="388"/>
      <c r="BO44" s="388"/>
      <c r="BP44" s="389"/>
      <c r="BQ44" s="419"/>
      <c r="BR44" s="420"/>
      <c r="BS44" s="420"/>
      <c r="BT44" s="420"/>
      <c r="BU44" s="420"/>
      <c r="BV44" s="420"/>
      <c r="BW44" s="420"/>
      <c r="BX44" s="420"/>
      <c r="BY44" s="420"/>
      <c r="BZ44" s="420"/>
      <c r="CA44" s="420"/>
      <c r="CB44" s="420"/>
      <c r="CC44" s="192"/>
      <c r="CD44" s="192"/>
      <c r="CE44" s="192"/>
    </row>
    <row r="45" spans="1:83" ht="12.75">
      <c r="A45" s="339"/>
      <c r="B45" s="340"/>
      <c r="C45" s="340"/>
      <c r="D45" s="341"/>
      <c r="E45" s="342" t="s">
        <v>110</v>
      </c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4"/>
      <c r="BE45" s="393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5"/>
      <c r="BQ45" s="421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192"/>
      <c r="CD45" s="192"/>
      <c r="CE45" s="192"/>
    </row>
    <row r="46" spans="1:83" ht="12.75">
      <c r="A46" s="364" t="s">
        <v>51</v>
      </c>
      <c r="B46" s="365"/>
      <c r="C46" s="365"/>
      <c r="D46" s="368"/>
      <c r="E46" s="404" t="s">
        <v>9</v>
      </c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6"/>
      <c r="BE46" s="426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8"/>
      <c r="BQ46" s="419"/>
      <c r="BR46" s="420"/>
      <c r="BS46" s="420"/>
      <c r="BT46" s="420"/>
      <c r="BU46" s="420"/>
      <c r="BV46" s="420"/>
      <c r="BW46" s="420"/>
      <c r="BX46" s="420"/>
      <c r="BY46" s="420"/>
      <c r="BZ46" s="420"/>
      <c r="CA46" s="420"/>
      <c r="CB46" s="420"/>
      <c r="CC46" s="192"/>
      <c r="CD46" s="192"/>
      <c r="CE46" s="192"/>
    </row>
    <row r="47" spans="1:83" ht="12.75">
      <c r="A47" s="366"/>
      <c r="B47" s="367"/>
      <c r="C47" s="367"/>
      <c r="D47" s="369"/>
      <c r="E47" s="423" t="s">
        <v>50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4"/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24"/>
      <c r="AY47" s="424"/>
      <c r="AZ47" s="424"/>
      <c r="BA47" s="424"/>
      <c r="BB47" s="424"/>
      <c r="BC47" s="424"/>
      <c r="BD47" s="425"/>
      <c r="BE47" s="439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1"/>
      <c r="BQ47" s="437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192"/>
      <c r="CD47" s="192"/>
      <c r="CE47" s="192"/>
    </row>
    <row r="48" spans="1:83" ht="12.75">
      <c r="A48" s="339"/>
      <c r="B48" s="340"/>
      <c r="C48" s="340"/>
      <c r="D48" s="341"/>
      <c r="E48" s="410" t="s">
        <v>111</v>
      </c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1"/>
      <c r="AS48" s="411"/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2"/>
      <c r="BE48" s="347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9"/>
      <c r="BQ48" s="421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192"/>
      <c r="CD48" s="192"/>
      <c r="CE48" s="192"/>
    </row>
    <row r="49" spans="1:83" ht="12.75">
      <c r="A49" s="364" t="s">
        <v>54</v>
      </c>
      <c r="B49" s="365"/>
      <c r="C49" s="365"/>
      <c r="D49" s="368"/>
      <c r="E49" s="404" t="s">
        <v>52</v>
      </c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6"/>
      <c r="BE49" s="426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8"/>
      <c r="BQ49" s="419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192"/>
      <c r="CD49" s="192"/>
      <c r="CE49" s="192"/>
    </row>
    <row r="50" spans="1:83" ht="12.75">
      <c r="A50" s="339"/>
      <c r="B50" s="340"/>
      <c r="C50" s="340"/>
      <c r="D50" s="341"/>
      <c r="E50" s="410" t="s">
        <v>53</v>
      </c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1"/>
      <c r="AS50" s="411"/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2"/>
      <c r="BE50" s="347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9"/>
      <c r="BQ50" s="421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192"/>
      <c r="CD50" s="192"/>
      <c r="CE50" s="192"/>
    </row>
    <row r="51" spans="1:83" ht="12.75">
      <c r="A51" s="364" t="s">
        <v>57</v>
      </c>
      <c r="B51" s="365"/>
      <c r="C51" s="365"/>
      <c r="D51" s="368"/>
      <c r="E51" s="404" t="s">
        <v>55</v>
      </c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6"/>
      <c r="BE51" s="426"/>
      <c r="BF51" s="427"/>
      <c r="BG51" s="427"/>
      <c r="BH51" s="427"/>
      <c r="BI51" s="427"/>
      <c r="BJ51" s="427"/>
      <c r="BK51" s="427"/>
      <c r="BL51" s="427"/>
      <c r="BM51" s="427"/>
      <c r="BN51" s="427"/>
      <c r="BO51" s="427"/>
      <c r="BP51" s="428"/>
      <c r="BQ51" s="419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192"/>
      <c r="CD51" s="192"/>
      <c r="CE51" s="192"/>
    </row>
    <row r="52" spans="1:83" ht="12.75">
      <c r="A52" s="339"/>
      <c r="B52" s="340"/>
      <c r="C52" s="340"/>
      <c r="D52" s="341"/>
      <c r="E52" s="410" t="s">
        <v>56</v>
      </c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2"/>
      <c r="BE52" s="347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9"/>
      <c r="BQ52" s="421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192"/>
      <c r="CD52" s="192"/>
      <c r="CE52" s="192"/>
    </row>
    <row r="53" spans="1:83" ht="12.75">
      <c r="A53" s="364" t="s">
        <v>58</v>
      </c>
      <c r="B53" s="365"/>
      <c r="C53" s="365"/>
      <c r="D53" s="368"/>
      <c r="E53" s="404" t="s">
        <v>55</v>
      </c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6"/>
      <c r="BE53" s="426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8"/>
      <c r="BQ53" s="419"/>
      <c r="BR53" s="420"/>
      <c r="BS53" s="420"/>
      <c r="BT53" s="420"/>
      <c r="BU53" s="420"/>
      <c r="BV53" s="420"/>
      <c r="BW53" s="420"/>
      <c r="BX53" s="420"/>
      <c r="BY53" s="420"/>
      <c r="BZ53" s="420"/>
      <c r="CA53" s="420"/>
      <c r="CB53" s="420"/>
      <c r="CC53" s="192"/>
      <c r="CD53" s="192"/>
      <c r="CE53" s="192"/>
    </row>
    <row r="54" spans="1:83" ht="12.75" customHeight="1">
      <c r="A54" s="339"/>
      <c r="B54" s="340"/>
      <c r="C54" s="340"/>
      <c r="D54" s="341"/>
      <c r="E54" s="410" t="s">
        <v>60</v>
      </c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1"/>
      <c r="AS54" s="411"/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2"/>
      <c r="BE54" s="347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9"/>
      <c r="BQ54" s="421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192"/>
      <c r="CD54" s="192"/>
      <c r="CE54" s="192"/>
    </row>
    <row r="55" spans="1:83" ht="12.75">
      <c r="A55" s="364" t="s">
        <v>59</v>
      </c>
      <c r="B55" s="365"/>
      <c r="C55" s="365"/>
      <c r="D55" s="368"/>
      <c r="E55" s="404" t="s">
        <v>55</v>
      </c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6"/>
      <c r="BE55" s="426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8"/>
      <c r="BQ55" s="419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192"/>
      <c r="CD55" s="192"/>
      <c r="CE55" s="192"/>
    </row>
    <row r="56" spans="1:83" ht="12.75" customHeight="1">
      <c r="A56" s="339"/>
      <c r="B56" s="340"/>
      <c r="C56" s="340"/>
      <c r="D56" s="341"/>
      <c r="E56" s="410" t="s">
        <v>60</v>
      </c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2"/>
      <c r="BE56" s="347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9"/>
      <c r="BQ56" s="421"/>
      <c r="BR56" s="422"/>
      <c r="BS56" s="422"/>
      <c r="BT56" s="422"/>
      <c r="BU56" s="422"/>
      <c r="BV56" s="422"/>
      <c r="BW56" s="422"/>
      <c r="BX56" s="422"/>
      <c r="BY56" s="422"/>
      <c r="BZ56" s="422"/>
      <c r="CA56" s="422"/>
      <c r="CB56" s="422"/>
      <c r="CC56" s="192"/>
      <c r="CD56" s="192"/>
      <c r="CE56" s="192"/>
    </row>
    <row r="57" spans="1:83" ht="12.75">
      <c r="A57" s="364">
        <v>3</v>
      </c>
      <c r="B57" s="365"/>
      <c r="C57" s="365"/>
      <c r="D57" s="368"/>
      <c r="E57" s="416" t="s">
        <v>61</v>
      </c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7"/>
      <c r="AN57" s="417"/>
      <c r="AO57" s="417"/>
      <c r="AP57" s="417"/>
      <c r="AQ57" s="417"/>
      <c r="AR57" s="417"/>
      <c r="AS57" s="417"/>
      <c r="AT57" s="417"/>
      <c r="AU57" s="417"/>
      <c r="AV57" s="417"/>
      <c r="AW57" s="417"/>
      <c r="AX57" s="417"/>
      <c r="AY57" s="417"/>
      <c r="AZ57" s="417"/>
      <c r="BA57" s="417"/>
      <c r="BB57" s="417"/>
      <c r="BC57" s="417"/>
      <c r="BD57" s="418"/>
      <c r="BE57" s="426"/>
      <c r="BF57" s="427"/>
      <c r="BG57" s="427"/>
      <c r="BH57" s="427"/>
      <c r="BI57" s="427"/>
      <c r="BJ57" s="427"/>
      <c r="BK57" s="427"/>
      <c r="BL57" s="427"/>
      <c r="BM57" s="427"/>
      <c r="BN57" s="427"/>
      <c r="BO57" s="427"/>
      <c r="BP57" s="428"/>
      <c r="BQ57" s="419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192"/>
      <c r="CD57" s="192"/>
      <c r="CE57" s="192"/>
    </row>
    <row r="58" spans="1:83" ht="12.75">
      <c r="A58" s="339"/>
      <c r="B58" s="340"/>
      <c r="C58" s="340"/>
      <c r="D58" s="341"/>
      <c r="E58" s="342" t="s">
        <v>62</v>
      </c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4"/>
      <c r="BE58" s="347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9"/>
      <c r="BQ58" s="421"/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2"/>
      <c r="CC58" s="192"/>
      <c r="CD58" s="192"/>
      <c r="CE58" s="192"/>
    </row>
    <row r="59" spans="1:119" s="155" customFormat="1" ht="12.75">
      <c r="A59" s="429"/>
      <c r="B59" s="430"/>
      <c r="C59" s="430"/>
      <c r="D59" s="431"/>
      <c r="E59" s="432" t="s">
        <v>10</v>
      </c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434"/>
      <c r="BE59" s="429" t="s">
        <v>11</v>
      </c>
      <c r="BF59" s="430"/>
      <c r="BG59" s="430"/>
      <c r="BH59" s="430"/>
      <c r="BI59" s="430"/>
      <c r="BJ59" s="430"/>
      <c r="BK59" s="430"/>
      <c r="BL59" s="430"/>
      <c r="BM59" s="430"/>
      <c r="BN59" s="430"/>
      <c r="BO59" s="430"/>
      <c r="BP59" s="431"/>
      <c r="BQ59" s="435">
        <v>3424205</v>
      </c>
      <c r="BR59" s="436"/>
      <c r="BS59" s="436"/>
      <c r="BT59" s="436"/>
      <c r="BU59" s="436"/>
      <c r="BV59" s="436"/>
      <c r="BW59" s="436"/>
      <c r="BX59" s="436"/>
      <c r="BY59" s="436"/>
      <c r="BZ59" s="436"/>
      <c r="CA59" s="436"/>
      <c r="CB59" s="436"/>
      <c r="CC59" s="197"/>
      <c r="CD59" s="197"/>
      <c r="CE59" s="197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</row>
    <row r="60" spans="1:83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CC60" s="192"/>
      <c r="CD60" s="192"/>
      <c r="CE60" s="192"/>
    </row>
    <row r="61" spans="1:119" s="10" customFormat="1" ht="11.25">
      <c r="A61" s="442" t="s">
        <v>112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442"/>
      <c r="AE61" s="442"/>
      <c r="AF61" s="442"/>
      <c r="AG61" s="442"/>
      <c r="AH61" s="442"/>
      <c r="AI61" s="442"/>
      <c r="AJ61" s="442"/>
      <c r="AK61" s="442"/>
      <c r="AL61" s="442"/>
      <c r="AM61" s="442"/>
      <c r="AN61" s="442"/>
      <c r="AO61" s="442"/>
      <c r="AP61" s="442"/>
      <c r="AQ61" s="442"/>
      <c r="AR61" s="442"/>
      <c r="AS61" s="442"/>
      <c r="AT61" s="442"/>
      <c r="AU61" s="442"/>
      <c r="AV61" s="442"/>
      <c r="AW61" s="442"/>
      <c r="AX61" s="442"/>
      <c r="AY61" s="442"/>
      <c r="AZ61" s="442"/>
      <c r="BA61" s="442"/>
      <c r="BB61" s="442"/>
      <c r="BC61" s="442"/>
      <c r="BD61" s="442"/>
      <c r="BE61" s="442"/>
      <c r="BF61" s="442"/>
      <c r="BG61" s="442"/>
      <c r="BH61" s="442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198"/>
      <c r="CD61" s="198"/>
      <c r="CE61" s="198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</row>
    <row r="62" spans="1:119" s="10" customFormat="1" ht="11.25">
      <c r="A62" s="442"/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2"/>
      <c r="R62" s="442"/>
      <c r="S62" s="442"/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J62" s="442"/>
      <c r="AK62" s="442"/>
      <c r="AL62" s="442"/>
      <c r="AM62" s="442"/>
      <c r="AN62" s="442"/>
      <c r="AO62" s="442"/>
      <c r="AP62" s="442"/>
      <c r="AQ62" s="442"/>
      <c r="AR62" s="442"/>
      <c r="AS62" s="442"/>
      <c r="AT62" s="442"/>
      <c r="AU62" s="442"/>
      <c r="AV62" s="442"/>
      <c r="AW62" s="442"/>
      <c r="AX62" s="442"/>
      <c r="AY62" s="442"/>
      <c r="AZ62" s="442"/>
      <c r="BA62" s="442"/>
      <c r="BB62" s="442"/>
      <c r="BC62" s="442"/>
      <c r="BD62" s="442"/>
      <c r="BE62" s="442"/>
      <c r="BF62" s="442"/>
      <c r="BG62" s="442"/>
      <c r="BH62" s="442"/>
      <c r="BI62" s="442"/>
      <c r="BJ62" s="442"/>
      <c r="BK62" s="442"/>
      <c r="BL62" s="442"/>
      <c r="BM62" s="442"/>
      <c r="BN62" s="442"/>
      <c r="BO62" s="442"/>
      <c r="BP62" s="442"/>
      <c r="BQ62" s="442"/>
      <c r="BR62" s="442"/>
      <c r="BS62" s="442"/>
      <c r="BT62" s="442"/>
      <c r="BU62" s="442"/>
      <c r="BV62" s="442"/>
      <c r="BW62" s="442"/>
      <c r="BX62" s="442"/>
      <c r="BY62" s="442"/>
      <c r="BZ62" s="442"/>
      <c r="CA62" s="442"/>
      <c r="CB62" s="442"/>
      <c r="CC62" s="198"/>
      <c r="CD62" s="198"/>
      <c r="CE62" s="198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</row>
    <row r="63" spans="1:119" s="10" customFormat="1" ht="11.25">
      <c r="A63" s="442"/>
      <c r="B63" s="442"/>
      <c r="C63" s="442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2"/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J63" s="442"/>
      <c r="AK63" s="442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2"/>
      <c r="AY63" s="442"/>
      <c r="AZ63" s="442"/>
      <c r="BA63" s="442"/>
      <c r="BB63" s="442"/>
      <c r="BC63" s="442"/>
      <c r="BD63" s="442"/>
      <c r="BE63" s="442"/>
      <c r="BF63" s="442"/>
      <c r="BG63" s="442"/>
      <c r="BH63" s="442"/>
      <c r="BI63" s="442"/>
      <c r="BJ63" s="442"/>
      <c r="BK63" s="442"/>
      <c r="BL63" s="442"/>
      <c r="BM63" s="442"/>
      <c r="BN63" s="442"/>
      <c r="BO63" s="442"/>
      <c r="BP63" s="442"/>
      <c r="BQ63" s="442"/>
      <c r="BR63" s="442"/>
      <c r="BS63" s="442"/>
      <c r="BT63" s="442"/>
      <c r="BU63" s="442"/>
      <c r="BV63" s="442"/>
      <c r="BW63" s="442"/>
      <c r="BX63" s="442"/>
      <c r="BY63" s="442"/>
      <c r="BZ63" s="442"/>
      <c r="CA63" s="442"/>
      <c r="CB63" s="442"/>
      <c r="CC63" s="198"/>
      <c r="CD63" s="198"/>
      <c r="CE63" s="198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</row>
    <row r="64" spans="81:83" ht="12.75">
      <c r="CC64" s="192"/>
      <c r="CD64" s="192"/>
      <c r="CE64" s="192"/>
    </row>
    <row r="65" spans="81:83" ht="12.75">
      <c r="CC65" s="192"/>
      <c r="CD65" s="192"/>
      <c r="CE65" s="192"/>
    </row>
    <row r="66" spans="81:83" ht="12.75">
      <c r="CC66" s="192"/>
      <c r="CD66" s="192"/>
      <c r="CE66" s="192"/>
    </row>
    <row r="67" spans="81:83" ht="12.75">
      <c r="CC67" s="192"/>
      <c r="CD67" s="192"/>
      <c r="CE67" s="192"/>
    </row>
    <row r="68" spans="81:83" ht="12.75">
      <c r="CC68" s="192"/>
      <c r="CD68" s="192"/>
      <c r="CE68" s="192"/>
    </row>
    <row r="69" spans="81:83" ht="12.75">
      <c r="CC69" s="192"/>
      <c r="CD69" s="192"/>
      <c r="CE69" s="192"/>
    </row>
    <row r="70" spans="81:83" ht="12.75">
      <c r="CC70" s="192"/>
      <c r="CD70" s="192"/>
      <c r="CE70" s="192"/>
    </row>
    <row r="71" spans="81:83" ht="12.75">
      <c r="CC71" s="192"/>
      <c r="CD71" s="192"/>
      <c r="CE71" s="192"/>
    </row>
    <row r="72" spans="81:83" ht="12.75">
      <c r="CC72" s="192"/>
      <c r="CD72" s="192"/>
      <c r="CE72" s="192"/>
    </row>
    <row r="73" spans="81:83" ht="12.75">
      <c r="CC73" s="192"/>
      <c r="CD73" s="192"/>
      <c r="CE73" s="192"/>
    </row>
    <row r="74" spans="81:83" ht="12.75">
      <c r="CC74" s="192"/>
      <c r="CD74" s="192"/>
      <c r="CE74" s="192"/>
    </row>
    <row r="75" spans="81:83" ht="12.75">
      <c r="CC75" s="192"/>
      <c r="CD75" s="192"/>
      <c r="CE75" s="192"/>
    </row>
    <row r="76" spans="81:83" ht="12.75">
      <c r="CC76" s="192"/>
      <c r="CD76" s="192"/>
      <c r="CE76" s="192"/>
    </row>
    <row r="77" spans="81:83" ht="12.75">
      <c r="CC77" s="192"/>
      <c r="CD77" s="192"/>
      <c r="CE77" s="192"/>
    </row>
    <row r="78" spans="81:83" ht="12.75">
      <c r="CC78" s="192"/>
      <c r="CD78" s="192"/>
      <c r="CE78" s="192"/>
    </row>
    <row r="79" spans="81:83" ht="12.75">
      <c r="CC79" s="192"/>
      <c r="CD79" s="192"/>
      <c r="CE79" s="192"/>
    </row>
    <row r="80" spans="81:83" ht="12.75">
      <c r="CC80" s="192"/>
      <c r="CD80" s="192"/>
      <c r="CE80" s="192"/>
    </row>
    <row r="81" spans="81:83" ht="12.75">
      <c r="CC81" s="192"/>
      <c r="CD81" s="192"/>
      <c r="CE81" s="192"/>
    </row>
    <row r="82" spans="81:83" ht="12.75">
      <c r="CC82" s="192"/>
      <c r="CD82" s="192"/>
      <c r="CE82" s="192"/>
    </row>
    <row r="83" spans="81:83" ht="12.75">
      <c r="CC83" s="192"/>
      <c r="CD83" s="192"/>
      <c r="CE83" s="192"/>
    </row>
  </sheetData>
  <sheetProtection/>
  <mergeCells count="186">
    <mergeCell ref="A61:CB63"/>
    <mergeCell ref="A24:D24"/>
    <mergeCell ref="E24:AI24"/>
    <mergeCell ref="A13:D13"/>
    <mergeCell ref="E13:AI13"/>
    <mergeCell ref="BQ53:CB54"/>
    <mergeCell ref="A55:D56"/>
    <mergeCell ref="BE55:BP56"/>
    <mergeCell ref="BQ55:CB56"/>
    <mergeCell ref="BE57:BP58"/>
    <mergeCell ref="BQ57:CB58"/>
    <mergeCell ref="A57:D58"/>
    <mergeCell ref="BQ44:CB45"/>
    <mergeCell ref="BQ46:CB48"/>
    <mergeCell ref="BE46:BP48"/>
    <mergeCell ref="A46:D48"/>
    <mergeCell ref="A49:D50"/>
    <mergeCell ref="BE49:BP50"/>
    <mergeCell ref="BQ49:CB50"/>
    <mergeCell ref="E58:BD58"/>
    <mergeCell ref="BQ59:CB59"/>
    <mergeCell ref="E56:BD56"/>
    <mergeCell ref="E57:BD57"/>
    <mergeCell ref="A39:D40"/>
    <mergeCell ref="BQ39:CB40"/>
    <mergeCell ref="BE39:BP40"/>
    <mergeCell ref="BE42:BP43"/>
    <mergeCell ref="BQ42:CB43"/>
    <mergeCell ref="A42:D43"/>
    <mergeCell ref="E40:BD40"/>
    <mergeCell ref="A51:D52"/>
    <mergeCell ref="BE51:BP52"/>
    <mergeCell ref="A59:D59"/>
    <mergeCell ref="E59:BD59"/>
    <mergeCell ref="BE59:BP59"/>
    <mergeCell ref="E54:BD54"/>
    <mergeCell ref="E55:BD55"/>
    <mergeCell ref="A53:D54"/>
    <mergeCell ref="BE53:BP54"/>
    <mergeCell ref="E53:BD53"/>
    <mergeCell ref="E50:BD50"/>
    <mergeCell ref="E51:BD51"/>
    <mergeCell ref="E44:BD44"/>
    <mergeCell ref="E45:BD45"/>
    <mergeCell ref="BQ51:CB52"/>
    <mergeCell ref="E48:BD48"/>
    <mergeCell ref="E49:BD49"/>
    <mergeCell ref="E46:BD46"/>
    <mergeCell ref="E47:BD47"/>
    <mergeCell ref="E52:BD52"/>
    <mergeCell ref="E39:BD39"/>
    <mergeCell ref="A41:D41"/>
    <mergeCell ref="E41:BD41"/>
    <mergeCell ref="E42:BD42"/>
    <mergeCell ref="E43:BD43"/>
    <mergeCell ref="BE41:BP41"/>
    <mergeCell ref="BE35:BP35"/>
    <mergeCell ref="BQ35:CB35"/>
    <mergeCell ref="BQ36:CB36"/>
    <mergeCell ref="A44:D45"/>
    <mergeCell ref="BE44:BP45"/>
    <mergeCell ref="BQ41:CB41"/>
    <mergeCell ref="A38:D38"/>
    <mergeCell ref="E38:BD38"/>
    <mergeCell ref="BE38:BP38"/>
    <mergeCell ref="BQ38:CB38"/>
    <mergeCell ref="A34:D34"/>
    <mergeCell ref="E33:BD33"/>
    <mergeCell ref="E34:BD34"/>
    <mergeCell ref="BQ37:CB37"/>
    <mergeCell ref="A35:D35"/>
    <mergeCell ref="A36:D36"/>
    <mergeCell ref="E35:BD35"/>
    <mergeCell ref="E36:BD36"/>
    <mergeCell ref="A37:D37"/>
    <mergeCell ref="E37:BD37"/>
    <mergeCell ref="BE37:BP37"/>
    <mergeCell ref="A26:CB26"/>
    <mergeCell ref="A27:CB27"/>
    <mergeCell ref="A28:CB28"/>
    <mergeCell ref="BE33:BP33"/>
    <mergeCell ref="BE34:BP34"/>
    <mergeCell ref="BE36:BP36"/>
    <mergeCell ref="BQ33:CB33"/>
    <mergeCell ref="BQ34:CB34"/>
    <mergeCell ref="A33:D33"/>
    <mergeCell ref="A21:D21"/>
    <mergeCell ref="AU24:BD24"/>
    <mergeCell ref="BE24:BO24"/>
    <mergeCell ref="BP24:CB24"/>
    <mergeCell ref="BE22:BO22"/>
    <mergeCell ref="BP22:CB22"/>
    <mergeCell ref="AJ21:AT21"/>
    <mergeCell ref="AU22:BD22"/>
    <mergeCell ref="A18:D18"/>
    <mergeCell ref="E18:AI18"/>
    <mergeCell ref="AJ18:AT18"/>
    <mergeCell ref="A19:D19"/>
    <mergeCell ref="E19:AI19"/>
    <mergeCell ref="AJ19:AT19"/>
    <mergeCell ref="AU19:BD19"/>
    <mergeCell ref="BE19:BO19"/>
    <mergeCell ref="BP19:CB19"/>
    <mergeCell ref="AU18:BD18"/>
    <mergeCell ref="BE18:BO18"/>
    <mergeCell ref="BP18:CB18"/>
    <mergeCell ref="A15:CB15"/>
    <mergeCell ref="A17:D17"/>
    <mergeCell ref="E17:AI17"/>
    <mergeCell ref="AJ17:AT17"/>
    <mergeCell ref="AU17:BD17"/>
    <mergeCell ref="BE17:BO17"/>
    <mergeCell ref="BP17:CB17"/>
    <mergeCell ref="AJ13:AW13"/>
    <mergeCell ref="AX13:BF13"/>
    <mergeCell ref="BG13:BO13"/>
    <mergeCell ref="BP13:CB13"/>
    <mergeCell ref="BP11:CB11"/>
    <mergeCell ref="A12:D12"/>
    <mergeCell ref="E12:AI12"/>
    <mergeCell ref="AJ12:AW12"/>
    <mergeCell ref="AX12:BF12"/>
    <mergeCell ref="BG12:BO12"/>
    <mergeCell ref="BP12:CB12"/>
    <mergeCell ref="AJ10:AW10"/>
    <mergeCell ref="AX10:BF10"/>
    <mergeCell ref="BG10:BO10"/>
    <mergeCell ref="A11:D11"/>
    <mergeCell ref="AX11:BF11"/>
    <mergeCell ref="BG11:BO11"/>
    <mergeCell ref="E11:AI11"/>
    <mergeCell ref="AJ11:AW11"/>
    <mergeCell ref="A6:D6"/>
    <mergeCell ref="A7:D7"/>
    <mergeCell ref="A8:D8"/>
    <mergeCell ref="A9:D9"/>
    <mergeCell ref="A10:D10"/>
    <mergeCell ref="E10:AI10"/>
    <mergeCell ref="BG9:BO9"/>
    <mergeCell ref="E7:AI7"/>
    <mergeCell ref="E8:AI8"/>
    <mergeCell ref="BP9:CB9"/>
    <mergeCell ref="BP10:CB10"/>
    <mergeCell ref="E9:AI9"/>
    <mergeCell ref="AX9:BF9"/>
    <mergeCell ref="AJ7:AW7"/>
    <mergeCell ref="AJ8:AW8"/>
    <mergeCell ref="AJ9:AW9"/>
    <mergeCell ref="AX7:BF7"/>
    <mergeCell ref="AX8:BF8"/>
    <mergeCell ref="E6:AI6"/>
    <mergeCell ref="AH4:CB4"/>
    <mergeCell ref="T2:CB2"/>
    <mergeCell ref="BG6:BO6"/>
    <mergeCell ref="BG7:BO7"/>
    <mergeCell ref="BG8:BO8"/>
    <mergeCell ref="AJ6:AW6"/>
    <mergeCell ref="A20:D20"/>
    <mergeCell ref="AU20:BD20"/>
    <mergeCell ref="BE20:BO20"/>
    <mergeCell ref="BP20:CB20"/>
    <mergeCell ref="E20:AI20"/>
    <mergeCell ref="A1:CB1"/>
    <mergeCell ref="BP6:CB6"/>
    <mergeCell ref="BP7:CB7"/>
    <mergeCell ref="BP8:CB8"/>
    <mergeCell ref="AX6:BF6"/>
    <mergeCell ref="CG39:DG39"/>
    <mergeCell ref="CH38:DE38"/>
    <mergeCell ref="A23:D23"/>
    <mergeCell ref="A22:D22"/>
    <mergeCell ref="AJ22:AT22"/>
    <mergeCell ref="E22:AI22"/>
    <mergeCell ref="AU23:BD23"/>
    <mergeCell ref="BE23:BO23"/>
    <mergeCell ref="BP23:CB23"/>
    <mergeCell ref="AJ24:AT24"/>
    <mergeCell ref="AJ20:AT20"/>
    <mergeCell ref="E23:AI23"/>
    <mergeCell ref="T29:CB29"/>
    <mergeCell ref="AH31:CB31"/>
    <mergeCell ref="BE21:BO21"/>
    <mergeCell ref="BP21:CB21"/>
    <mergeCell ref="AU21:BD21"/>
    <mergeCell ref="AJ23:AT23"/>
    <mergeCell ref="E21:AI2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F141"/>
  <sheetViews>
    <sheetView view="pageBreakPreview" zoomScaleSheetLayoutView="100" zoomScalePageLayoutView="0" workbookViewId="0" topLeftCell="A78">
      <selection activeCell="BJ76" sqref="BJ76:CB76"/>
    </sheetView>
  </sheetViews>
  <sheetFormatPr defaultColWidth="1.12109375" defaultRowHeight="12.75"/>
  <cols>
    <col min="1" max="80" width="1.12109375" style="7" customWidth="1"/>
    <col min="81" max="81" width="22.75390625" style="59" customWidth="1"/>
    <col min="82" max="82" width="24.625" style="59" customWidth="1"/>
    <col min="83" max="83" width="24.875" style="59" customWidth="1"/>
    <col min="84" max="84" width="33.375" style="7" customWidth="1"/>
    <col min="85" max="119" width="20.125" style="7" customWidth="1"/>
    <col min="120" max="16384" width="1.12109375" style="7" customWidth="1"/>
  </cols>
  <sheetData>
    <row r="1" spans="1:83" s="3" customFormat="1" ht="15.75" hidden="1">
      <c r="A1" s="363" t="s">
        <v>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57"/>
      <c r="CD1" s="57"/>
      <c r="CE1" s="57"/>
    </row>
    <row r="2" spans="1:83" s="6" customFormat="1" ht="9.75" hidden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8"/>
      <c r="CD2" s="58"/>
      <c r="CE2" s="58"/>
    </row>
    <row r="3" spans="1:83" s="3" customFormat="1" ht="15.75" hidden="1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57"/>
      <c r="CD3" s="57"/>
      <c r="CE3" s="57"/>
    </row>
    <row r="4" spans="1:83" s="6" customFormat="1" ht="9.75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8"/>
      <c r="CD4" s="58"/>
      <c r="CE4" s="58"/>
    </row>
    <row r="5" spans="1:83" s="3" customFormat="1" ht="15.75" hidden="1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0"/>
      <c r="BT5" s="500"/>
      <c r="BU5" s="500"/>
      <c r="BV5" s="500"/>
      <c r="BW5" s="500"/>
      <c r="BX5" s="500"/>
      <c r="BY5" s="500"/>
      <c r="BZ5" s="500"/>
      <c r="CA5" s="500"/>
      <c r="CB5" s="500"/>
      <c r="CC5" s="57"/>
      <c r="CD5" s="57"/>
      <c r="CE5" s="57"/>
    </row>
    <row r="6" ht="12.75" hidden="1"/>
    <row r="7" spans="1:80" ht="12.75" hidden="1">
      <c r="A7" s="364" t="s">
        <v>5</v>
      </c>
      <c r="B7" s="365"/>
      <c r="C7" s="365"/>
      <c r="D7" s="368"/>
      <c r="E7" s="364" t="s">
        <v>63</v>
      </c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8"/>
      <c r="AN7" s="364" t="s">
        <v>65</v>
      </c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8"/>
      <c r="BB7" s="364" t="s">
        <v>18</v>
      </c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8"/>
      <c r="BN7" s="364" t="s">
        <v>67</v>
      </c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8"/>
    </row>
    <row r="8" spans="1:80" ht="12.75" hidden="1">
      <c r="A8" s="366" t="s">
        <v>6</v>
      </c>
      <c r="B8" s="367"/>
      <c r="C8" s="367"/>
      <c r="D8" s="369"/>
      <c r="E8" s="366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9"/>
      <c r="AN8" s="366" t="s">
        <v>66</v>
      </c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9"/>
      <c r="BB8" s="366" t="s">
        <v>26</v>
      </c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9"/>
      <c r="BN8" s="366" t="s">
        <v>68</v>
      </c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9"/>
    </row>
    <row r="9" spans="1:80" ht="12.75" hidden="1">
      <c r="A9" s="366"/>
      <c r="B9" s="367"/>
      <c r="C9" s="367"/>
      <c r="D9" s="369"/>
      <c r="E9" s="366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9"/>
      <c r="AN9" s="366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9"/>
      <c r="BB9" s="366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9"/>
      <c r="BN9" s="366" t="s">
        <v>77</v>
      </c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9"/>
    </row>
    <row r="10" spans="1:80" ht="12.75" hidden="1">
      <c r="A10" s="396">
        <v>1</v>
      </c>
      <c r="B10" s="397"/>
      <c r="C10" s="397"/>
      <c r="D10" s="398"/>
      <c r="E10" s="396">
        <v>2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8"/>
      <c r="AN10" s="396">
        <v>3</v>
      </c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8"/>
      <c r="BB10" s="396">
        <v>4</v>
      </c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8"/>
      <c r="BN10" s="396">
        <v>5</v>
      </c>
      <c r="BO10" s="397"/>
      <c r="BP10" s="397"/>
      <c r="BQ10" s="397"/>
      <c r="BR10" s="397"/>
      <c r="BS10" s="397"/>
      <c r="BT10" s="397"/>
      <c r="BU10" s="397"/>
      <c r="BV10" s="397"/>
      <c r="BW10" s="397"/>
      <c r="BX10" s="397"/>
      <c r="BY10" s="397"/>
      <c r="BZ10" s="397"/>
      <c r="CA10" s="397"/>
      <c r="CB10" s="398"/>
    </row>
    <row r="11" spans="1:80" ht="12.75" hidden="1">
      <c r="A11" s="342"/>
      <c r="B11" s="343"/>
      <c r="C11" s="343"/>
      <c r="D11" s="344"/>
      <c r="E11" s="342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4"/>
      <c r="AN11" s="347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9"/>
      <c r="BB11" s="413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5"/>
      <c r="BN11" s="347"/>
      <c r="BO11" s="348"/>
      <c r="BP11" s="348"/>
      <c r="BQ11" s="348"/>
      <c r="BR11" s="348"/>
      <c r="BS11" s="348"/>
      <c r="BT11" s="348"/>
      <c r="BU11" s="348"/>
      <c r="BV11" s="348"/>
      <c r="BW11" s="348"/>
      <c r="BX11" s="348"/>
      <c r="BY11" s="348"/>
      <c r="BZ11" s="348"/>
      <c r="CA11" s="348"/>
      <c r="CB11" s="349"/>
    </row>
    <row r="12" spans="1:80" ht="12.75" hidden="1">
      <c r="A12" s="342"/>
      <c r="B12" s="343"/>
      <c r="C12" s="343"/>
      <c r="D12" s="344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4"/>
      <c r="AN12" s="347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9"/>
      <c r="BB12" s="413"/>
      <c r="BC12" s="414"/>
      <c r="BD12" s="414"/>
      <c r="BE12" s="414"/>
      <c r="BF12" s="414"/>
      <c r="BG12" s="414"/>
      <c r="BH12" s="414"/>
      <c r="BI12" s="414"/>
      <c r="BJ12" s="414"/>
      <c r="BK12" s="414"/>
      <c r="BL12" s="414"/>
      <c r="BM12" s="415"/>
      <c r="BN12" s="347"/>
      <c r="BO12" s="348"/>
      <c r="BP12" s="348"/>
      <c r="BQ12" s="348"/>
      <c r="BR12" s="348"/>
      <c r="BS12" s="348"/>
      <c r="BT12" s="348"/>
      <c r="BU12" s="348"/>
      <c r="BV12" s="348"/>
      <c r="BW12" s="348"/>
      <c r="BX12" s="348"/>
      <c r="BY12" s="348"/>
      <c r="BZ12" s="348"/>
      <c r="CA12" s="348"/>
      <c r="CB12" s="349"/>
    </row>
    <row r="13" spans="1:80" ht="12.75" hidden="1">
      <c r="A13" s="342"/>
      <c r="B13" s="343"/>
      <c r="C13" s="343"/>
      <c r="D13" s="344"/>
      <c r="E13" s="413" t="s">
        <v>10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5"/>
      <c r="AN13" s="393" t="s">
        <v>11</v>
      </c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5"/>
      <c r="BB13" s="384" t="s">
        <v>11</v>
      </c>
      <c r="BC13" s="385"/>
      <c r="BD13" s="385"/>
      <c r="BE13" s="385"/>
      <c r="BF13" s="385"/>
      <c r="BG13" s="385"/>
      <c r="BH13" s="385"/>
      <c r="BI13" s="385"/>
      <c r="BJ13" s="385"/>
      <c r="BK13" s="385"/>
      <c r="BL13" s="385"/>
      <c r="BM13" s="386"/>
      <c r="BN13" s="347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9"/>
    </row>
    <row r="14" spans="81:83" s="1" customFormat="1" ht="15.75" hidden="1">
      <c r="CC14" s="232"/>
      <c r="CD14" s="232"/>
      <c r="CE14" s="232"/>
    </row>
    <row r="15" spans="1:84" s="3" customFormat="1" ht="15.75">
      <c r="A15" s="363" t="s">
        <v>137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3"/>
      <c r="BI15" s="363"/>
      <c r="BJ15" s="363"/>
      <c r="BK15" s="363"/>
      <c r="BL15" s="363"/>
      <c r="BM15" s="363"/>
      <c r="BN15" s="363"/>
      <c r="BO15" s="363"/>
      <c r="BP15" s="363"/>
      <c r="BQ15" s="363"/>
      <c r="BR15" s="363"/>
      <c r="BS15" s="363"/>
      <c r="BT15" s="363"/>
      <c r="BU15" s="363"/>
      <c r="BV15" s="363"/>
      <c r="BW15" s="363"/>
      <c r="BX15" s="363"/>
      <c r="BY15" s="363"/>
      <c r="BZ15" s="363"/>
      <c r="CA15" s="363"/>
      <c r="CB15" s="363"/>
      <c r="CC15" s="240"/>
      <c r="CD15" s="240"/>
      <c r="CE15" s="240"/>
      <c r="CF15" s="246"/>
    </row>
    <row r="16" spans="1:84" s="6" customFormat="1" ht="9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243"/>
      <c r="CD16" s="243"/>
      <c r="CE16" s="243"/>
      <c r="CF16" s="244"/>
    </row>
    <row r="17" spans="1:84" s="3" customFormat="1" ht="15.75">
      <c r="A17" s="3" t="s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49" t="s">
        <v>138</v>
      </c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  <c r="BH17" s="449"/>
      <c r="BI17" s="449"/>
      <c r="BJ17" s="449"/>
      <c r="BK17" s="449"/>
      <c r="BL17" s="449"/>
      <c r="BM17" s="449"/>
      <c r="BN17" s="449"/>
      <c r="BO17" s="449"/>
      <c r="BP17" s="449"/>
      <c r="BQ17" s="449"/>
      <c r="BR17" s="449"/>
      <c r="BS17" s="449"/>
      <c r="BT17" s="449"/>
      <c r="BU17" s="449"/>
      <c r="BV17" s="449"/>
      <c r="BW17" s="449"/>
      <c r="BX17" s="449"/>
      <c r="BY17" s="449"/>
      <c r="BZ17" s="449"/>
      <c r="CA17" s="449"/>
      <c r="CB17" s="449"/>
      <c r="CC17" s="240"/>
      <c r="CD17" s="240"/>
      <c r="CE17" s="240"/>
      <c r="CF17" s="241"/>
    </row>
    <row r="18" spans="1:84" s="6" customFormat="1" ht="9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243"/>
      <c r="CD18" s="243"/>
      <c r="CE18" s="243"/>
      <c r="CF18" s="244"/>
    </row>
    <row r="19" spans="1:84" s="3" customFormat="1" ht="17.25" customHeight="1">
      <c r="A19" s="3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499" t="s">
        <v>134</v>
      </c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/>
      <c r="CC19" s="240"/>
      <c r="CD19" s="240"/>
      <c r="CE19" s="240"/>
      <c r="CF19" s="241"/>
    </row>
    <row r="20" spans="81:84" ht="12.75">
      <c r="CC20" s="236"/>
      <c r="CD20" s="236"/>
      <c r="CE20" s="236"/>
      <c r="CF20" s="235"/>
    </row>
    <row r="21" spans="1:84" ht="12.75">
      <c r="A21" s="364" t="s">
        <v>5</v>
      </c>
      <c r="B21" s="365"/>
      <c r="C21" s="365"/>
      <c r="D21" s="368"/>
      <c r="E21" s="364" t="s">
        <v>13</v>
      </c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8"/>
      <c r="AN21" s="364" t="s">
        <v>69</v>
      </c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8"/>
      <c r="BB21" s="364" t="s">
        <v>72</v>
      </c>
      <c r="BC21" s="365"/>
      <c r="BD21" s="365"/>
      <c r="BE21" s="365"/>
      <c r="BF21" s="365"/>
      <c r="BG21" s="365"/>
      <c r="BH21" s="365"/>
      <c r="BI21" s="368"/>
      <c r="BJ21" s="364" t="s">
        <v>74</v>
      </c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236"/>
      <c r="CD21" s="236"/>
      <c r="CE21" s="236"/>
      <c r="CF21" s="235"/>
    </row>
    <row r="22" spans="1:84" ht="12.75">
      <c r="A22" s="366" t="s">
        <v>6</v>
      </c>
      <c r="B22" s="367"/>
      <c r="C22" s="367"/>
      <c r="D22" s="369"/>
      <c r="E22" s="366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9"/>
      <c r="AN22" s="366" t="s">
        <v>70</v>
      </c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9"/>
      <c r="BB22" s="366" t="s">
        <v>73</v>
      </c>
      <c r="BC22" s="367"/>
      <c r="BD22" s="367"/>
      <c r="BE22" s="367"/>
      <c r="BF22" s="367"/>
      <c r="BG22" s="367"/>
      <c r="BH22" s="367"/>
      <c r="BI22" s="369"/>
      <c r="BJ22" s="366" t="s">
        <v>75</v>
      </c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236"/>
      <c r="CD22" s="236"/>
      <c r="CE22" s="236"/>
      <c r="CF22" s="235"/>
    </row>
    <row r="23" spans="1:84" ht="12.75">
      <c r="A23" s="366"/>
      <c r="B23" s="367"/>
      <c r="C23" s="367"/>
      <c r="D23" s="369"/>
      <c r="E23" s="366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9"/>
      <c r="AN23" s="366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9"/>
      <c r="BB23" s="366"/>
      <c r="BC23" s="367"/>
      <c r="BD23" s="367"/>
      <c r="BE23" s="367"/>
      <c r="BF23" s="367"/>
      <c r="BG23" s="367"/>
      <c r="BH23" s="367"/>
      <c r="BI23" s="369"/>
      <c r="BJ23" s="366" t="s">
        <v>76</v>
      </c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  <c r="BX23" s="367"/>
      <c r="BY23" s="367"/>
      <c r="BZ23" s="367"/>
      <c r="CA23" s="367"/>
      <c r="CB23" s="367"/>
      <c r="CC23" s="236"/>
      <c r="CD23" s="236"/>
      <c r="CE23" s="236"/>
      <c r="CF23" s="235"/>
    </row>
    <row r="24" spans="1:84" ht="12.75">
      <c r="A24" s="366"/>
      <c r="B24" s="367"/>
      <c r="C24" s="367"/>
      <c r="D24" s="369"/>
      <c r="E24" s="366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9"/>
      <c r="AN24" s="366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9"/>
      <c r="BB24" s="366"/>
      <c r="BC24" s="367"/>
      <c r="BD24" s="367"/>
      <c r="BE24" s="367"/>
      <c r="BF24" s="367"/>
      <c r="BG24" s="367"/>
      <c r="BH24" s="367"/>
      <c r="BI24" s="369"/>
      <c r="BJ24" s="366" t="s">
        <v>78</v>
      </c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  <c r="BX24" s="367"/>
      <c r="BY24" s="367"/>
      <c r="BZ24" s="367"/>
      <c r="CA24" s="367"/>
      <c r="CB24" s="367"/>
      <c r="CC24" s="236"/>
      <c r="CD24" s="236"/>
      <c r="CE24" s="236"/>
      <c r="CF24" s="235"/>
    </row>
    <row r="25" spans="1:84" ht="15.75">
      <c r="A25" s="396">
        <v>1</v>
      </c>
      <c r="B25" s="397"/>
      <c r="C25" s="397"/>
      <c r="D25" s="398"/>
      <c r="E25" s="396">
        <v>2</v>
      </c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8"/>
      <c r="AN25" s="396">
        <v>3</v>
      </c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8"/>
      <c r="BB25" s="396">
        <v>4</v>
      </c>
      <c r="BC25" s="397"/>
      <c r="BD25" s="397"/>
      <c r="BE25" s="397"/>
      <c r="BF25" s="397"/>
      <c r="BG25" s="397"/>
      <c r="BH25" s="397"/>
      <c r="BI25" s="398"/>
      <c r="BJ25" s="396">
        <v>5</v>
      </c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57" t="s">
        <v>153</v>
      </c>
      <c r="CD25" s="57" t="s">
        <v>211</v>
      </c>
      <c r="CE25" s="57" t="s">
        <v>411</v>
      </c>
      <c r="CF25" s="255" t="s">
        <v>412</v>
      </c>
    </row>
    <row r="26" spans="1:84" ht="12.75">
      <c r="A26" s="342"/>
      <c r="B26" s="343"/>
      <c r="C26" s="343"/>
      <c r="D26" s="344"/>
      <c r="E26" s="342" t="s">
        <v>132</v>
      </c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4"/>
      <c r="AN26" s="357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9"/>
      <c r="BB26" s="446"/>
      <c r="BC26" s="447"/>
      <c r="BD26" s="447"/>
      <c r="BE26" s="447"/>
      <c r="BF26" s="447"/>
      <c r="BG26" s="447"/>
      <c r="BH26" s="447"/>
      <c r="BI26" s="448"/>
      <c r="BJ26" s="357">
        <v>19219.2</v>
      </c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D26" s="178">
        <v>629.26</v>
      </c>
      <c r="CE26" s="179">
        <f>BJ26-CD26</f>
        <v>18589.940000000002</v>
      </c>
      <c r="CF26" s="182"/>
    </row>
    <row r="27" spans="1:84" ht="12.75">
      <c r="A27" s="342"/>
      <c r="B27" s="343"/>
      <c r="C27" s="343"/>
      <c r="D27" s="344"/>
      <c r="E27" s="342" t="s">
        <v>133</v>
      </c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4"/>
      <c r="AN27" s="357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9"/>
      <c r="BB27" s="446"/>
      <c r="BC27" s="447"/>
      <c r="BD27" s="447"/>
      <c r="BE27" s="447"/>
      <c r="BF27" s="447"/>
      <c r="BG27" s="447"/>
      <c r="BH27" s="447"/>
      <c r="BI27" s="448"/>
      <c r="BJ27" s="357">
        <v>17799.6</v>
      </c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D27" s="178">
        <f>3953+3953</f>
        <v>7906</v>
      </c>
      <c r="CE27" s="179">
        <f>BJ27-CD27</f>
        <v>9893.599999999999</v>
      </c>
      <c r="CF27" s="182"/>
    </row>
    <row r="28" spans="1:84" ht="12.75">
      <c r="A28" s="342"/>
      <c r="B28" s="343"/>
      <c r="C28" s="343"/>
      <c r="D28" s="344"/>
      <c r="E28" s="342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4"/>
      <c r="AN28" s="357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9"/>
      <c r="BB28" s="446"/>
      <c r="BC28" s="447"/>
      <c r="BD28" s="447"/>
      <c r="BE28" s="447"/>
      <c r="BF28" s="447"/>
      <c r="BG28" s="447"/>
      <c r="BH28" s="447"/>
      <c r="BI28" s="448"/>
      <c r="BJ28" s="357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F28" s="182"/>
    </row>
    <row r="29" spans="1:84" s="155" customFormat="1" ht="12.75">
      <c r="A29" s="443"/>
      <c r="B29" s="444"/>
      <c r="C29" s="444"/>
      <c r="D29" s="445"/>
      <c r="E29" s="432" t="s">
        <v>10</v>
      </c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4"/>
      <c r="AN29" s="432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4"/>
      <c r="BB29" s="429" t="s">
        <v>11</v>
      </c>
      <c r="BC29" s="430"/>
      <c r="BD29" s="430"/>
      <c r="BE29" s="430"/>
      <c r="BF29" s="430"/>
      <c r="BG29" s="430"/>
      <c r="BH29" s="430"/>
      <c r="BI29" s="431"/>
      <c r="BJ29" s="372">
        <f>SUM(BJ26:CB28)</f>
        <v>37018.8</v>
      </c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197"/>
      <c r="CD29" s="197"/>
      <c r="CE29" s="197"/>
      <c r="CF29" s="154"/>
    </row>
    <row r="30" spans="1:84" s="3" customFormat="1" ht="15.75">
      <c r="A30" s="363" t="s">
        <v>113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63"/>
      <c r="BB30" s="363"/>
      <c r="BC30" s="363"/>
      <c r="BD30" s="363"/>
      <c r="BE30" s="363"/>
      <c r="BF30" s="363"/>
      <c r="BG30" s="363"/>
      <c r="BH30" s="363"/>
      <c r="BI30" s="363"/>
      <c r="BJ30" s="363"/>
      <c r="BK30" s="363"/>
      <c r="BL30" s="363"/>
      <c r="BM30" s="363"/>
      <c r="BN30" s="363"/>
      <c r="BO30" s="363"/>
      <c r="BP30" s="363"/>
      <c r="BQ30" s="363"/>
      <c r="BR30" s="363"/>
      <c r="BS30" s="363"/>
      <c r="BT30" s="363"/>
      <c r="BU30" s="363"/>
      <c r="BV30" s="363"/>
      <c r="BW30" s="363"/>
      <c r="BX30" s="363"/>
      <c r="BY30" s="363"/>
      <c r="BZ30" s="363"/>
      <c r="CA30" s="363"/>
      <c r="CB30" s="363"/>
      <c r="CC30" s="240"/>
      <c r="CD30" s="240"/>
      <c r="CE30" s="240"/>
      <c r="CF30" s="241"/>
    </row>
    <row r="31" spans="1:84" s="6" customFormat="1" ht="9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243"/>
      <c r="CD31" s="243"/>
      <c r="CE31" s="243"/>
      <c r="CF31" s="244"/>
    </row>
    <row r="32" spans="1:84" s="3" customFormat="1" ht="15.75">
      <c r="A32" s="3" t="s">
        <v>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49" t="s">
        <v>332</v>
      </c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50"/>
      <c r="BA32" s="450"/>
      <c r="BB32" s="450"/>
      <c r="BC32" s="450"/>
      <c r="BD32" s="450"/>
      <c r="BE32" s="450"/>
      <c r="BF32" s="450"/>
      <c r="BG32" s="450"/>
      <c r="BH32" s="450"/>
      <c r="BI32" s="450"/>
      <c r="BJ32" s="450"/>
      <c r="BK32" s="450"/>
      <c r="BL32" s="450"/>
      <c r="BM32" s="450"/>
      <c r="BN32" s="450"/>
      <c r="BO32" s="450"/>
      <c r="BP32" s="450"/>
      <c r="BQ32" s="450"/>
      <c r="BR32" s="450"/>
      <c r="BS32" s="450"/>
      <c r="BT32" s="450"/>
      <c r="BU32" s="450"/>
      <c r="BV32" s="450"/>
      <c r="BW32" s="450"/>
      <c r="BX32" s="450"/>
      <c r="BY32" s="450"/>
      <c r="BZ32" s="450"/>
      <c r="CA32" s="450"/>
      <c r="CB32" s="450"/>
      <c r="CC32" s="240"/>
      <c r="CD32" s="240"/>
      <c r="CE32" s="240"/>
      <c r="CF32" s="241"/>
    </row>
    <row r="33" spans="1:84" s="6" customFormat="1" ht="9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243"/>
      <c r="CD33" s="243"/>
      <c r="CE33" s="243"/>
      <c r="CF33" s="244"/>
    </row>
    <row r="34" spans="1:84" s="3" customFormat="1" ht="18" customHeight="1">
      <c r="A34" s="3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499" t="s">
        <v>134</v>
      </c>
      <c r="AI34" s="499"/>
      <c r="AJ34" s="499"/>
      <c r="AK34" s="499"/>
      <c r="AL34" s="499"/>
      <c r="AM34" s="499"/>
      <c r="AN34" s="499"/>
      <c r="AO34" s="499"/>
      <c r="AP34" s="499"/>
      <c r="AQ34" s="499"/>
      <c r="AR34" s="499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9"/>
      <c r="CC34" s="240"/>
      <c r="CD34" s="240"/>
      <c r="CE34" s="240"/>
      <c r="CF34" s="241"/>
    </row>
    <row r="35" spans="81:84" ht="12.75">
      <c r="CC35" s="236"/>
      <c r="CD35" s="236"/>
      <c r="CE35" s="236"/>
      <c r="CF35" s="235"/>
    </row>
    <row r="36" spans="1:84" ht="12.75">
      <c r="A36" s="364" t="s">
        <v>5</v>
      </c>
      <c r="B36" s="365"/>
      <c r="C36" s="365"/>
      <c r="D36" s="368"/>
      <c r="E36" s="364" t="s">
        <v>13</v>
      </c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8"/>
      <c r="AN36" s="364" t="s">
        <v>69</v>
      </c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8"/>
      <c r="BB36" s="364" t="s">
        <v>72</v>
      </c>
      <c r="BC36" s="365"/>
      <c r="BD36" s="365"/>
      <c r="BE36" s="365"/>
      <c r="BF36" s="365"/>
      <c r="BG36" s="365"/>
      <c r="BH36" s="365"/>
      <c r="BI36" s="368"/>
      <c r="BJ36" s="364" t="s">
        <v>74</v>
      </c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236"/>
      <c r="CD36" s="236"/>
      <c r="CE36" s="236"/>
      <c r="CF36" s="235"/>
    </row>
    <row r="37" spans="1:84" ht="12.75">
      <c r="A37" s="366" t="s">
        <v>6</v>
      </c>
      <c r="B37" s="367"/>
      <c r="C37" s="367"/>
      <c r="D37" s="369"/>
      <c r="E37" s="366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367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9"/>
      <c r="AN37" s="366" t="s">
        <v>70</v>
      </c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9"/>
      <c r="BB37" s="366" t="s">
        <v>73</v>
      </c>
      <c r="BC37" s="367"/>
      <c r="BD37" s="367"/>
      <c r="BE37" s="367"/>
      <c r="BF37" s="367"/>
      <c r="BG37" s="367"/>
      <c r="BH37" s="367"/>
      <c r="BI37" s="369"/>
      <c r="BJ37" s="366" t="s">
        <v>75</v>
      </c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  <c r="BX37" s="367"/>
      <c r="BY37" s="367"/>
      <c r="BZ37" s="367"/>
      <c r="CA37" s="367"/>
      <c r="CB37" s="367"/>
      <c r="CC37" s="236"/>
      <c r="CD37" s="236"/>
      <c r="CE37" s="236"/>
      <c r="CF37" s="235"/>
    </row>
    <row r="38" spans="1:84" ht="12.75">
      <c r="A38" s="366"/>
      <c r="B38" s="367"/>
      <c r="C38" s="367"/>
      <c r="D38" s="369"/>
      <c r="E38" s="366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9"/>
      <c r="AN38" s="366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9"/>
      <c r="BB38" s="366"/>
      <c r="BC38" s="367"/>
      <c r="BD38" s="367"/>
      <c r="BE38" s="367"/>
      <c r="BF38" s="367"/>
      <c r="BG38" s="367"/>
      <c r="BH38" s="367"/>
      <c r="BI38" s="369"/>
      <c r="BJ38" s="366" t="s">
        <v>76</v>
      </c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236"/>
      <c r="CD38" s="236"/>
      <c r="CE38" s="236"/>
      <c r="CF38" s="235"/>
    </row>
    <row r="39" spans="1:84" ht="12.75">
      <c r="A39" s="366"/>
      <c r="B39" s="367"/>
      <c r="C39" s="367"/>
      <c r="D39" s="369"/>
      <c r="E39" s="366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9"/>
      <c r="AN39" s="366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9"/>
      <c r="BB39" s="366"/>
      <c r="BC39" s="367"/>
      <c r="BD39" s="367"/>
      <c r="BE39" s="367"/>
      <c r="BF39" s="367"/>
      <c r="BG39" s="367"/>
      <c r="BH39" s="367"/>
      <c r="BI39" s="369"/>
      <c r="BJ39" s="366" t="s">
        <v>78</v>
      </c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F39" s="182"/>
    </row>
    <row r="40" spans="1:84" ht="15.75">
      <c r="A40" s="396">
        <v>1</v>
      </c>
      <c r="B40" s="397"/>
      <c r="C40" s="397"/>
      <c r="D40" s="398"/>
      <c r="E40" s="396">
        <v>2</v>
      </c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8"/>
      <c r="AN40" s="396">
        <v>3</v>
      </c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8"/>
      <c r="BB40" s="396">
        <v>4</v>
      </c>
      <c r="BC40" s="397"/>
      <c r="BD40" s="397"/>
      <c r="BE40" s="397"/>
      <c r="BF40" s="397"/>
      <c r="BG40" s="397"/>
      <c r="BH40" s="397"/>
      <c r="BI40" s="398"/>
      <c r="BJ40" s="396">
        <v>5</v>
      </c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57" t="s">
        <v>153</v>
      </c>
      <c r="CD40" s="57" t="s">
        <v>211</v>
      </c>
      <c r="CE40" s="57" t="s">
        <v>411</v>
      </c>
      <c r="CF40" s="255" t="s">
        <v>412</v>
      </c>
    </row>
    <row r="41" spans="1:84" ht="15" customHeight="1">
      <c r="A41" s="342">
        <v>853</v>
      </c>
      <c r="B41" s="343"/>
      <c r="C41" s="343"/>
      <c r="D41" s="344"/>
      <c r="E41" s="496" t="s">
        <v>301</v>
      </c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8"/>
      <c r="AN41" s="357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9"/>
      <c r="BB41" s="446"/>
      <c r="BC41" s="447"/>
      <c r="BD41" s="447"/>
      <c r="BE41" s="447"/>
      <c r="BF41" s="447"/>
      <c r="BG41" s="447"/>
      <c r="BH41" s="447"/>
      <c r="BI41" s="448"/>
      <c r="BJ41" s="357">
        <v>10920</v>
      </c>
      <c r="BK41" s="358"/>
      <c r="BL41" s="358"/>
      <c r="BM41" s="358"/>
      <c r="BN41" s="358"/>
      <c r="BO41" s="358"/>
      <c r="BP41" s="358"/>
      <c r="BQ41" s="358"/>
      <c r="BR41" s="358"/>
      <c r="BS41" s="358"/>
      <c r="BT41" s="358"/>
      <c r="BU41" s="358"/>
      <c r="BV41" s="358"/>
      <c r="BW41" s="358"/>
      <c r="BX41" s="358"/>
      <c r="BY41" s="358"/>
      <c r="BZ41" s="358"/>
      <c r="CA41" s="358"/>
      <c r="CB41" s="358"/>
      <c r="CD41" s="59">
        <v>657.37</v>
      </c>
      <c r="CE41" s="59">
        <f>BJ41-CD41</f>
        <v>10262.63</v>
      </c>
      <c r="CF41" s="182"/>
    </row>
    <row r="42" spans="1:84" ht="12.75">
      <c r="A42" s="342">
        <v>852</v>
      </c>
      <c r="B42" s="343"/>
      <c r="C42" s="343"/>
      <c r="D42" s="344"/>
      <c r="E42" s="342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4"/>
      <c r="AN42" s="357"/>
      <c r="AO42" s="358"/>
      <c r="AP42" s="358"/>
      <c r="AQ42" s="358"/>
      <c r="AR42" s="358"/>
      <c r="AS42" s="358"/>
      <c r="AT42" s="358"/>
      <c r="AU42" s="358"/>
      <c r="AV42" s="358"/>
      <c r="AW42" s="358"/>
      <c r="AX42" s="358"/>
      <c r="AY42" s="358"/>
      <c r="AZ42" s="358"/>
      <c r="BA42" s="359"/>
      <c r="BB42" s="446"/>
      <c r="BC42" s="447"/>
      <c r="BD42" s="447"/>
      <c r="BE42" s="447"/>
      <c r="BF42" s="447"/>
      <c r="BG42" s="447"/>
      <c r="BH42" s="447"/>
      <c r="BI42" s="448"/>
      <c r="BJ42" s="357"/>
      <c r="BK42" s="358"/>
      <c r="BL42" s="358"/>
      <c r="BM42" s="358"/>
      <c r="BN42" s="358"/>
      <c r="BO42" s="358"/>
      <c r="BP42" s="358"/>
      <c r="BQ42" s="358"/>
      <c r="BR42" s="358"/>
      <c r="BS42" s="358"/>
      <c r="BT42" s="358"/>
      <c r="BU42" s="358"/>
      <c r="BV42" s="358"/>
      <c r="BW42" s="358"/>
      <c r="BX42" s="358"/>
      <c r="BY42" s="358"/>
      <c r="BZ42" s="358"/>
      <c r="CA42" s="358"/>
      <c r="CB42" s="358"/>
      <c r="CE42" s="59">
        <f>BJ42-CD42</f>
        <v>0</v>
      </c>
      <c r="CF42" s="182"/>
    </row>
    <row r="43" spans="1:84" ht="12.75">
      <c r="A43" s="342">
        <v>853</v>
      </c>
      <c r="B43" s="343"/>
      <c r="C43" s="343"/>
      <c r="D43" s="344"/>
      <c r="E43" s="342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4"/>
      <c r="AN43" s="357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9"/>
      <c r="BB43" s="446"/>
      <c r="BC43" s="447"/>
      <c r="BD43" s="447"/>
      <c r="BE43" s="447"/>
      <c r="BF43" s="447"/>
      <c r="BG43" s="447"/>
      <c r="BH43" s="447"/>
      <c r="BI43" s="448"/>
      <c r="BJ43" s="357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E43" s="59">
        <f>BJ43-CD43</f>
        <v>0</v>
      </c>
      <c r="CF43" s="182"/>
    </row>
    <row r="44" spans="1:84" s="155" customFormat="1" ht="12.75">
      <c r="A44" s="443"/>
      <c r="B44" s="444"/>
      <c r="C44" s="444"/>
      <c r="D44" s="445"/>
      <c r="E44" s="432" t="s">
        <v>10</v>
      </c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433"/>
      <c r="AG44" s="433"/>
      <c r="AH44" s="433"/>
      <c r="AI44" s="433"/>
      <c r="AJ44" s="433"/>
      <c r="AK44" s="433"/>
      <c r="AL44" s="433"/>
      <c r="AM44" s="434"/>
      <c r="AN44" s="432"/>
      <c r="AO44" s="433"/>
      <c r="AP44" s="433"/>
      <c r="AQ44" s="433"/>
      <c r="AR44" s="433"/>
      <c r="AS44" s="433"/>
      <c r="AT44" s="433"/>
      <c r="AU44" s="433"/>
      <c r="AV44" s="433"/>
      <c r="AW44" s="433"/>
      <c r="AX44" s="433"/>
      <c r="AY44" s="433"/>
      <c r="AZ44" s="433"/>
      <c r="BA44" s="434"/>
      <c r="BB44" s="429" t="s">
        <v>11</v>
      </c>
      <c r="BC44" s="430"/>
      <c r="BD44" s="430"/>
      <c r="BE44" s="430"/>
      <c r="BF44" s="430"/>
      <c r="BG44" s="430"/>
      <c r="BH44" s="430"/>
      <c r="BI44" s="431"/>
      <c r="BJ44" s="372">
        <f>SUM(BJ41:CB43)</f>
        <v>10920</v>
      </c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197"/>
      <c r="CD44" s="197"/>
      <c r="CE44" s="236"/>
      <c r="CF44" s="154"/>
    </row>
    <row r="45" spans="81:84" s="1" customFormat="1" ht="15.75">
      <c r="CC45" s="238"/>
      <c r="CD45" s="238"/>
      <c r="CE45" s="238"/>
      <c r="CF45" s="239"/>
    </row>
    <row r="46" spans="1:84" s="3" customFormat="1" ht="36" customHeight="1">
      <c r="A46" s="451" t="s">
        <v>152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240"/>
      <c r="CD46" s="240"/>
      <c r="CE46" s="240"/>
      <c r="CF46" s="241"/>
    </row>
    <row r="47" spans="1:84" s="6" customFormat="1" ht="9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243"/>
      <c r="CD47" s="243"/>
      <c r="CE47" s="243"/>
      <c r="CF47" s="244"/>
    </row>
    <row r="48" spans="1:84" s="3" customFormat="1" ht="15.75">
      <c r="A48" s="3" t="s">
        <v>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449" t="s">
        <v>394</v>
      </c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50"/>
      <c r="AP48" s="450"/>
      <c r="AQ48" s="450"/>
      <c r="AR48" s="450"/>
      <c r="AS48" s="450"/>
      <c r="AT48" s="450"/>
      <c r="AU48" s="450"/>
      <c r="AV48" s="450"/>
      <c r="AW48" s="450"/>
      <c r="AX48" s="450"/>
      <c r="AY48" s="450"/>
      <c r="AZ48" s="450"/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  <c r="BK48" s="450"/>
      <c r="BL48" s="450"/>
      <c r="BM48" s="450"/>
      <c r="BN48" s="450"/>
      <c r="BO48" s="450"/>
      <c r="BP48" s="450"/>
      <c r="BQ48" s="450"/>
      <c r="BR48" s="450"/>
      <c r="BS48" s="450"/>
      <c r="BT48" s="450"/>
      <c r="BU48" s="450"/>
      <c r="BV48" s="450"/>
      <c r="BW48" s="450"/>
      <c r="BX48" s="450"/>
      <c r="BY48" s="450"/>
      <c r="BZ48" s="450"/>
      <c r="CA48" s="450"/>
      <c r="CB48" s="450"/>
      <c r="CC48" s="240"/>
      <c r="CD48" s="240"/>
      <c r="CE48" s="240"/>
      <c r="CF48" s="241"/>
    </row>
    <row r="49" spans="1:84" s="6" customFormat="1" ht="9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243"/>
      <c r="CD49" s="243"/>
      <c r="CE49" s="243"/>
      <c r="CF49" s="244"/>
    </row>
    <row r="50" spans="1:84" s="3" customFormat="1" ht="30" customHeight="1">
      <c r="A50" s="3" t="s">
        <v>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46" t="s">
        <v>139</v>
      </c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240"/>
      <c r="CD50" s="240"/>
      <c r="CE50" s="240"/>
      <c r="CF50" s="241"/>
    </row>
    <row r="51" spans="81:84" ht="12.75">
      <c r="CC51" s="236"/>
      <c r="CD51" s="236"/>
      <c r="CE51" s="236"/>
      <c r="CF51" s="235"/>
    </row>
    <row r="52" spans="1:84" s="3" customFormat="1" ht="15.75">
      <c r="A52" s="363" t="s">
        <v>140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/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191"/>
      <c r="CD52" s="240"/>
      <c r="CE52" s="240"/>
      <c r="CF52" s="241"/>
    </row>
    <row r="53" spans="1:84" s="6" customFormat="1" ht="9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242"/>
      <c r="CD53" s="243"/>
      <c r="CE53" s="243"/>
      <c r="CF53" s="244"/>
    </row>
    <row r="54" spans="1:84" ht="12.75">
      <c r="A54" s="364" t="s">
        <v>5</v>
      </c>
      <c r="B54" s="365"/>
      <c r="C54" s="365"/>
      <c r="D54" s="368"/>
      <c r="E54" s="364" t="s">
        <v>13</v>
      </c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8"/>
      <c r="BD54" s="364" t="s">
        <v>18</v>
      </c>
      <c r="BE54" s="365"/>
      <c r="BF54" s="365"/>
      <c r="BG54" s="365"/>
      <c r="BH54" s="365"/>
      <c r="BI54" s="365"/>
      <c r="BJ54" s="365"/>
      <c r="BK54" s="365"/>
      <c r="BL54" s="365"/>
      <c r="BM54" s="368"/>
      <c r="BN54" s="364" t="s">
        <v>83</v>
      </c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192"/>
      <c r="CD54" s="236"/>
      <c r="CE54" s="236"/>
      <c r="CF54" s="235"/>
    </row>
    <row r="55" spans="1:84" ht="12.75">
      <c r="A55" s="366" t="s">
        <v>6</v>
      </c>
      <c r="B55" s="367"/>
      <c r="C55" s="367"/>
      <c r="D55" s="369"/>
      <c r="E55" s="366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67"/>
      <c r="AV55" s="367"/>
      <c r="AW55" s="367"/>
      <c r="AX55" s="367"/>
      <c r="AY55" s="367"/>
      <c r="AZ55" s="367"/>
      <c r="BA55" s="367"/>
      <c r="BB55" s="367"/>
      <c r="BC55" s="369"/>
      <c r="BD55" s="366" t="s">
        <v>104</v>
      </c>
      <c r="BE55" s="367"/>
      <c r="BF55" s="367"/>
      <c r="BG55" s="367"/>
      <c r="BH55" s="367"/>
      <c r="BI55" s="367"/>
      <c r="BJ55" s="367"/>
      <c r="BK55" s="367"/>
      <c r="BL55" s="367"/>
      <c r="BM55" s="369"/>
      <c r="BN55" s="366" t="s">
        <v>105</v>
      </c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192"/>
      <c r="CD55" s="236"/>
      <c r="CE55" s="236"/>
      <c r="CF55" s="235"/>
    </row>
    <row r="56" spans="1:84" ht="15.75">
      <c r="A56" s="396">
        <v>1</v>
      </c>
      <c r="B56" s="397"/>
      <c r="C56" s="397"/>
      <c r="D56" s="398"/>
      <c r="E56" s="396">
        <v>2</v>
      </c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7"/>
      <c r="AF56" s="397"/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397"/>
      <c r="AT56" s="397"/>
      <c r="AU56" s="397"/>
      <c r="AV56" s="397"/>
      <c r="AW56" s="397"/>
      <c r="AX56" s="397"/>
      <c r="AY56" s="397"/>
      <c r="AZ56" s="397"/>
      <c r="BA56" s="397"/>
      <c r="BB56" s="397"/>
      <c r="BC56" s="398"/>
      <c r="BD56" s="396">
        <v>3</v>
      </c>
      <c r="BE56" s="397"/>
      <c r="BF56" s="397"/>
      <c r="BG56" s="397"/>
      <c r="BH56" s="397"/>
      <c r="BI56" s="397"/>
      <c r="BJ56" s="397"/>
      <c r="BK56" s="397"/>
      <c r="BL56" s="397"/>
      <c r="BM56" s="398"/>
      <c r="BN56" s="396">
        <v>4</v>
      </c>
      <c r="BO56" s="397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8"/>
      <c r="CC56" s="57" t="s">
        <v>153</v>
      </c>
      <c r="CD56" s="57" t="s">
        <v>211</v>
      </c>
      <c r="CE56" s="57" t="s">
        <v>411</v>
      </c>
      <c r="CF56" s="255" t="s">
        <v>412</v>
      </c>
    </row>
    <row r="57" spans="1:84" ht="12.75">
      <c r="A57" s="351">
        <v>1</v>
      </c>
      <c r="B57" s="352"/>
      <c r="C57" s="352"/>
      <c r="D57" s="353"/>
      <c r="E57" s="452" t="s">
        <v>410</v>
      </c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3"/>
      <c r="AK57" s="453"/>
      <c r="AL57" s="453"/>
      <c r="AM57" s="453"/>
      <c r="AN57" s="453"/>
      <c r="AO57" s="453"/>
      <c r="AP57" s="453"/>
      <c r="AQ57" s="453"/>
      <c r="AR57" s="453"/>
      <c r="AS57" s="453"/>
      <c r="AT57" s="453"/>
      <c r="AU57" s="453"/>
      <c r="AV57" s="453"/>
      <c r="AW57" s="453"/>
      <c r="AX57" s="453"/>
      <c r="AY57" s="453"/>
      <c r="AZ57" s="453"/>
      <c r="BA57" s="453"/>
      <c r="BB57" s="453"/>
      <c r="BC57" s="454"/>
      <c r="BD57" s="455"/>
      <c r="BE57" s="456"/>
      <c r="BF57" s="456"/>
      <c r="BG57" s="456"/>
      <c r="BH57" s="456"/>
      <c r="BI57" s="456"/>
      <c r="BJ57" s="456"/>
      <c r="BK57" s="456"/>
      <c r="BL57" s="456"/>
      <c r="BM57" s="457"/>
      <c r="BN57" s="458">
        <f>39735-8735-280</f>
        <v>30720</v>
      </c>
      <c r="BO57" s="459"/>
      <c r="BP57" s="459"/>
      <c r="BQ57" s="459"/>
      <c r="BR57" s="459"/>
      <c r="BS57" s="459"/>
      <c r="BT57" s="459"/>
      <c r="BU57" s="459"/>
      <c r="BV57" s="459"/>
      <c r="BW57" s="459"/>
      <c r="BX57" s="459"/>
      <c r="BY57" s="459"/>
      <c r="BZ57" s="459"/>
      <c r="CA57" s="459"/>
      <c r="CB57" s="460"/>
      <c r="CC57" s="55">
        <v>30720</v>
      </c>
      <c r="CD57" s="59">
        <v>30720</v>
      </c>
      <c r="CE57" s="59">
        <f>CC57-CD57</f>
        <v>0</v>
      </c>
      <c r="CF57" s="258">
        <f>BN57-CC57</f>
        <v>0</v>
      </c>
    </row>
    <row r="58" spans="1:84" ht="12.75">
      <c r="A58" s="351">
        <v>2</v>
      </c>
      <c r="B58" s="352"/>
      <c r="C58" s="352"/>
      <c r="D58" s="353"/>
      <c r="E58" s="452" t="s">
        <v>420</v>
      </c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R58" s="453"/>
      <c r="AS58" s="453"/>
      <c r="AT58" s="453"/>
      <c r="AU58" s="453"/>
      <c r="AV58" s="453"/>
      <c r="AW58" s="453"/>
      <c r="AX58" s="453"/>
      <c r="AY58" s="453"/>
      <c r="AZ58" s="453"/>
      <c r="BA58" s="453"/>
      <c r="BB58" s="453"/>
      <c r="BC58" s="454"/>
      <c r="BD58" s="455"/>
      <c r="BE58" s="456"/>
      <c r="BF58" s="456"/>
      <c r="BG58" s="456"/>
      <c r="BH58" s="456"/>
      <c r="BI58" s="456"/>
      <c r="BJ58" s="456"/>
      <c r="BK58" s="456"/>
      <c r="BL58" s="456"/>
      <c r="BM58" s="457"/>
      <c r="BN58" s="458">
        <v>280</v>
      </c>
      <c r="BO58" s="459"/>
      <c r="BP58" s="459"/>
      <c r="BQ58" s="459"/>
      <c r="BR58" s="459"/>
      <c r="BS58" s="459"/>
      <c r="BT58" s="459"/>
      <c r="BU58" s="459"/>
      <c r="BV58" s="459"/>
      <c r="BW58" s="459"/>
      <c r="BX58" s="459"/>
      <c r="BY58" s="459"/>
      <c r="BZ58" s="459"/>
      <c r="CA58" s="459"/>
      <c r="CB58" s="460"/>
      <c r="CC58" s="55">
        <v>280</v>
      </c>
      <c r="CD58" s="59">
        <v>280</v>
      </c>
      <c r="CE58" s="59">
        <f>CC58-CD58</f>
        <v>0</v>
      </c>
      <c r="CF58" s="258">
        <f>BN58-CC58</f>
        <v>0</v>
      </c>
    </row>
    <row r="59" spans="1:84" ht="12.75">
      <c r="A59" s="351">
        <v>3</v>
      </c>
      <c r="B59" s="352"/>
      <c r="C59" s="352"/>
      <c r="D59" s="353"/>
      <c r="E59" s="452" t="s">
        <v>393</v>
      </c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3"/>
      <c r="AK59" s="453"/>
      <c r="AL59" s="453"/>
      <c r="AM59" s="453"/>
      <c r="AN59" s="453"/>
      <c r="AO59" s="453"/>
      <c r="AP59" s="453"/>
      <c r="AQ59" s="453"/>
      <c r="AR59" s="453"/>
      <c r="AS59" s="453"/>
      <c r="AT59" s="453"/>
      <c r="AU59" s="453"/>
      <c r="AV59" s="453"/>
      <c r="AW59" s="453"/>
      <c r="AX59" s="453"/>
      <c r="AY59" s="453"/>
      <c r="AZ59" s="453"/>
      <c r="BA59" s="453"/>
      <c r="BB59" s="453"/>
      <c r="BC59" s="454"/>
      <c r="BD59" s="455"/>
      <c r="BE59" s="456"/>
      <c r="BF59" s="456"/>
      <c r="BG59" s="456"/>
      <c r="BH59" s="456"/>
      <c r="BI59" s="456"/>
      <c r="BJ59" s="456"/>
      <c r="BK59" s="456"/>
      <c r="BL59" s="456"/>
      <c r="BM59" s="457"/>
      <c r="BN59" s="458">
        <f>3980-3980</f>
        <v>0</v>
      </c>
      <c r="BO59" s="459"/>
      <c r="BP59" s="459"/>
      <c r="BQ59" s="459"/>
      <c r="BR59" s="459"/>
      <c r="BS59" s="459"/>
      <c r="BT59" s="459"/>
      <c r="BU59" s="459"/>
      <c r="BV59" s="459"/>
      <c r="BW59" s="459"/>
      <c r="BX59" s="459"/>
      <c r="BY59" s="459"/>
      <c r="BZ59" s="459"/>
      <c r="CA59" s="459"/>
      <c r="CB59" s="460"/>
      <c r="CC59" s="55"/>
      <c r="CE59" s="59">
        <f>CC59-CD59</f>
        <v>0</v>
      </c>
      <c r="CF59" s="258">
        <f>BN59-CC59</f>
        <v>0</v>
      </c>
    </row>
    <row r="60" spans="1:84" s="14" customFormat="1" ht="12.75">
      <c r="A60" s="464"/>
      <c r="B60" s="465"/>
      <c r="C60" s="465"/>
      <c r="D60" s="466"/>
      <c r="E60" s="510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  <c r="Q60" s="511"/>
      <c r="R60" s="511"/>
      <c r="S60" s="511"/>
      <c r="T60" s="511"/>
      <c r="U60" s="511"/>
      <c r="V60" s="511"/>
      <c r="W60" s="511"/>
      <c r="X60" s="511"/>
      <c r="Y60" s="511"/>
      <c r="Z60" s="511"/>
      <c r="AA60" s="511"/>
      <c r="AB60" s="511"/>
      <c r="AC60" s="511"/>
      <c r="AD60" s="511"/>
      <c r="AE60" s="511"/>
      <c r="AF60" s="511"/>
      <c r="AG60" s="511"/>
      <c r="AH60" s="511"/>
      <c r="AI60" s="511"/>
      <c r="AJ60" s="511"/>
      <c r="AK60" s="511"/>
      <c r="AL60" s="511"/>
      <c r="AM60" s="511"/>
      <c r="AN60" s="511"/>
      <c r="AO60" s="511"/>
      <c r="AP60" s="511"/>
      <c r="AQ60" s="511"/>
      <c r="AR60" s="511"/>
      <c r="AS60" s="511"/>
      <c r="AT60" s="511"/>
      <c r="AU60" s="511"/>
      <c r="AV60" s="511"/>
      <c r="AW60" s="511"/>
      <c r="AX60" s="511"/>
      <c r="AY60" s="511"/>
      <c r="AZ60" s="511"/>
      <c r="BA60" s="511"/>
      <c r="BB60" s="511"/>
      <c r="BC60" s="512"/>
      <c r="BD60" s="507"/>
      <c r="BE60" s="508"/>
      <c r="BF60" s="508"/>
      <c r="BG60" s="508"/>
      <c r="BH60" s="508"/>
      <c r="BI60" s="508"/>
      <c r="BJ60" s="508"/>
      <c r="BK60" s="508"/>
      <c r="BL60" s="508"/>
      <c r="BM60" s="509"/>
      <c r="BN60" s="485"/>
      <c r="BO60" s="486"/>
      <c r="BP60" s="486"/>
      <c r="BQ60" s="486"/>
      <c r="BR60" s="486"/>
      <c r="BS60" s="486"/>
      <c r="BT60" s="486"/>
      <c r="BU60" s="486"/>
      <c r="BV60" s="486"/>
      <c r="BW60" s="486"/>
      <c r="BX60" s="486"/>
      <c r="BY60" s="486"/>
      <c r="BZ60" s="486"/>
      <c r="CA60" s="486"/>
      <c r="CB60" s="487"/>
      <c r="CC60" s="160"/>
      <c r="CD60" s="55"/>
      <c r="CE60" s="59">
        <f>CC60-CD60</f>
        <v>0</v>
      </c>
      <c r="CF60" s="258">
        <f>BN60-CC60</f>
        <v>0</v>
      </c>
    </row>
    <row r="61" spans="1:84" s="14" customFormat="1" ht="12.75">
      <c r="A61" s="464"/>
      <c r="B61" s="465"/>
      <c r="C61" s="465"/>
      <c r="D61" s="466"/>
      <c r="E61" s="510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  <c r="Q61" s="511"/>
      <c r="R61" s="511"/>
      <c r="S61" s="511"/>
      <c r="T61" s="511"/>
      <c r="U61" s="511"/>
      <c r="V61" s="511"/>
      <c r="W61" s="511"/>
      <c r="X61" s="511"/>
      <c r="Y61" s="511"/>
      <c r="Z61" s="511"/>
      <c r="AA61" s="511"/>
      <c r="AB61" s="511"/>
      <c r="AC61" s="511"/>
      <c r="AD61" s="511"/>
      <c r="AE61" s="511"/>
      <c r="AF61" s="511"/>
      <c r="AG61" s="511"/>
      <c r="AH61" s="511"/>
      <c r="AI61" s="511"/>
      <c r="AJ61" s="511"/>
      <c r="AK61" s="511"/>
      <c r="AL61" s="511"/>
      <c r="AM61" s="511"/>
      <c r="AN61" s="511"/>
      <c r="AO61" s="511"/>
      <c r="AP61" s="511"/>
      <c r="AQ61" s="511"/>
      <c r="AR61" s="511"/>
      <c r="AS61" s="511"/>
      <c r="AT61" s="511"/>
      <c r="AU61" s="511"/>
      <c r="AV61" s="511"/>
      <c r="AW61" s="511"/>
      <c r="AX61" s="511"/>
      <c r="AY61" s="511"/>
      <c r="AZ61" s="511"/>
      <c r="BA61" s="511"/>
      <c r="BB61" s="511"/>
      <c r="BC61" s="512"/>
      <c r="BD61" s="507"/>
      <c r="BE61" s="508"/>
      <c r="BF61" s="508"/>
      <c r="BG61" s="508"/>
      <c r="BH61" s="508"/>
      <c r="BI61" s="508"/>
      <c r="BJ61" s="508"/>
      <c r="BK61" s="508"/>
      <c r="BL61" s="508"/>
      <c r="BM61" s="509"/>
      <c r="BN61" s="485"/>
      <c r="BO61" s="486"/>
      <c r="BP61" s="486"/>
      <c r="BQ61" s="486"/>
      <c r="BR61" s="486"/>
      <c r="BS61" s="486"/>
      <c r="BT61" s="486"/>
      <c r="BU61" s="486"/>
      <c r="BV61" s="486"/>
      <c r="BW61" s="486"/>
      <c r="BX61" s="486"/>
      <c r="BY61" s="486"/>
      <c r="BZ61" s="486"/>
      <c r="CA61" s="486"/>
      <c r="CB61" s="487"/>
      <c r="CC61" s="160"/>
      <c r="CD61" s="55"/>
      <c r="CE61" s="59">
        <f>CC61-CD61</f>
        <v>0</v>
      </c>
      <c r="CF61" s="258">
        <f>BN61-CC61</f>
        <v>0</v>
      </c>
    </row>
    <row r="62" spans="1:84" ht="12.75">
      <c r="A62" s="342"/>
      <c r="B62" s="343"/>
      <c r="C62" s="343"/>
      <c r="D62" s="344"/>
      <c r="E62" s="351"/>
      <c r="F62" s="352"/>
      <c r="G62" s="352"/>
      <c r="H62" s="35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259"/>
      <c r="BD62" s="413"/>
      <c r="BE62" s="414"/>
      <c r="BF62" s="414"/>
      <c r="BG62" s="414"/>
      <c r="BH62" s="414"/>
      <c r="BI62" s="414"/>
      <c r="BJ62" s="414"/>
      <c r="BK62" s="414"/>
      <c r="BL62" s="414"/>
      <c r="BM62" s="415"/>
      <c r="BN62" s="413"/>
      <c r="BO62" s="414"/>
      <c r="BP62" s="414"/>
      <c r="BQ62" s="414"/>
      <c r="BR62" s="414"/>
      <c r="BS62" s="414"/>
      <c r="BT62" s="414"/>
      <c r="BU62" s="414"/>
      <c r="BV62" s="414"/>
      <c r="BW62" s="414"/>
      <c r="BX62" s="414"/>
      <c r="BY62" s="414"/>
      <c r="BZ62" s="414"/>
      <c r="CA62" s="414"/>
      <c r="CB62" s="414"/>
      <c r="CC62" s="192"/>
      <c r="CD62" s="236"/>
      <c r="CE62" s="236"/>
      <c r="CF62" s="235"/>
    </row>
    <row r="63" spans="1:84" s="157" customFormat="1" ht="12.75">
      <c r="A63" s="482"/>
      <c r="B63" s="483"/>
      <c r="C63" s="483"/>
      <c r="D63" s="484"/>
      <c r="E63" s="491" t="s">
        <v>141</v>
      </c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2"/>
      <c r="AD63" s="492"/>
      <c r="AE63" s="492"/>
      <c r="AF63" s="492"/>
      <c r="AG63" s="492"/>
      <c r="AH63" s="492"/>
      <c r="AI63" s="492"/>
      <c r="AJ63" s="492"/>
      <c r="AK63" s="492"/>
      <c r="AL63" s="492"/>
      <c r="AM63" s="492"/>
      <c r="AN63" s="492"/>
      <c r="AO63" s="492"/>
      <c r="AP63" s="492"/>
      <c r="AQ63" s="492"/>
      <c r="AR63" s="492"/>
      <c r="AS63" s="492"/>
      <c r="AT63" s="492"/>
      <c r="AU63" s="492"/>
      <c r="AV63" s="492"/>
      <c r="AW63" s="492"/>
      <c r="AX63" s="492"/>
      <c r="AY63" s="492"/>
      <c r="AZ63" s="492"/>
      <c r="BA63" s="492"/>
      <c r="BB63" s="492"/>
      <c r="BC63" s="493"/>
      <c r="BD63" s="494"/>
      <c r="BE63" s="490"/>
      <c r="BF63" s="490"/>
      <c r="BG63" s="490"/>
      <c r="BH63" s="490"/>
      <c r="BI63" s="490"/>
      <c r="BJ63" s="490"/>
      <c r="BK63" s="490"/>
      <c r="BL63" s="490"/>
      <c r="BM63" s="495"/>
      <c r="BN63" s="489">
        <f>SUM(BN57:CB62)</f>
        <v>31000</v>
      </c>
      <c r="BO63" s="490"/>
      <c r="BP63" s="490"/>
      <c r="BQ63" s="490"/>
      <c r="BR63" s="490"/>
      <c r="BS63" s="490"/>
      <c r="BT63" s="490"/>
      <c r="BU63" s="490"/>
      <c r="BV63" s="490"/>
      <c r="BW63" s="490"/>
      <c r="BX63" s="490"/>
      <c r="BY63" s="490"/>
      <c r="BZ63" s="490"/>
      <c r="CA63" s="490"/>
      <c r="CB63" s="490"/>
      <c r="CC63" s="247"/>
      <c r="CD63" s="247"/>
      <c r="CE63" s="247"/>
      <c r="CF63" s="248"/>
    </row>
    <row r="64" spans="81:84" s="1" customFormat="1" ht="15.75">
      <c r="CC64" s="238"/>
      <c r="CD64" s="238"/>
      <c r="CE64" s="238"/>
      <c r="CF64" s="239"/>
    </row>
    <row r="65" spans="1:84" s="3" customFormat="1" ht="15.75">
      <c r="A65" s="363"/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240"/>
      <c r="CD65" s="240"/>
      <c r="CE65" s="240"/>
      <c r="CF65" s="241"/>
    </row>
    <row r="66" spans="1:84" s="6" customFormat="1" ht="9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243"/>
      <c r="CD66" s="243"/>
      <c r="CE66" s="243"/>
      <c r="CF66" s="244"/>
    </row>
    <row r="67" spans="1:84" s="3" customFormat="1" ht="15.75">
      <c r="A67" s="3" t="s">
        <v>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0"/>
      <c r="AL67" s="450"/>
      <c r="AM67" s="450"/>
      <c r="AN67" s="450"/>
      <c r="AO67" s="450"/>
      <c r="AP67" s="450"/>
      <c r="AQ67" s="450"/>
      <c r="AR67" s="450"/>
      <c r="AS67" s="450"/>
      <c r="AT67" s="450"/>
      <c r="AU67" s="450"/>
      <c r="AV67" s="450"/>
      <c r="AW67" s="450"/>
      <c r="AX67" s="450"/>
      <c r="AY67" s="450"/>
      <c r="AZ67" s="450"/>
      <c r="BA67" s="450"/>
      <c r="BB67" s="450"/>
      <c r="BC67" s="450"/>
      <c r="BD67" s="450"/>
      <c r="BE67" s="450"/>
      <c r="BF67" s="450"/>
      <c r="BG67" s="450"/>
      <c r="BH67" s="450"/>
      <c r="BI67" s="450"/>
      <c r="BJ67" s="450"/>
      <c r="BK67" s="450"/>
      <c r="BL67" s="450"/>
      <c r="BM67" s="450"/>
      <c r="BN67" s="450"/>
      <c r="BO67" s="450"/>
      <c r="BP67" s="450"/>
      <c r="BQ67" s="450"/>
      <c r="BR67" s="450"/>
      <c r="BS67" s="450"/>
      <c r="BT67" s="450"/>
      <c r="BU67" s="450"/>
      <c r="BV67" s="450"/>
      <c r="BW67" s="450"/>
      <c r="BX67" s="450"/>
      <c r="BY67" s="450"/>
      <c r="BZ67" s="450"/>
      <c r="CA67" s="450"/>
      <c r="CB67" s="450"/>
      <c r="CC67" s="240"/>
      <c r="CD67" s="240"/>
      <c r="CE67" s="240"/>
      <c r="CF67" s="241"/>
    </row>
    <row r="68" spans="1:84" s="6" customFormat="1" ht="9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243"/>
      <c r="CD68" s="243"/>
      <c r="CE68" s="243"/>
      <c r="CF68" s="244"/>
    </row>
    <row r="69" spans="1:84" s="3" customFormat="1" ht="45" customHeight="1">
      <c r="A69" s="3" t="s">
        <v>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488" t="s">
        <v>395</v>
      </c>
      <c r="AI69" s="346"/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6"/>
      <c r="AZ69" s="346"/>
      <c r="BA69" s="346"/>
      <c r="BB69" s="346"/>
      <c r="BC69" s="346"/>
      <c r="BD69" s="346"/>
      <c r="BE69" s="346"/>
      <c r="BF69" s="346"/>
      <c r="BG69" s="346"/>
      <c r="BH69" s="346"/>
      <c r="BI69" s="346"/>
      <c r="BJ69" s="346"/>
      <c r="BK69" s="346"/>
      <c r="BL69" s="346"/>
      <c r="BM69" s="346"/>
      <c r="BN69" s="346"/>
      <c r="BO69" s="346"/>
      <c r="BP69" s="346"/>
      <c r="BQ69" s="346"/>
      <c r="BR69" s="346"/>
      <c r="BS69" s="346"/>
      <c r="BT69" s="346"/>
      <c r="BU69" s="346"/>
      <c r="BV69" s="346"/>
      <c r="BW69" s="346"/>
      <c r="BX69" s="346"/>
      <c r="BY69" s="346"/>
      <c r="BZ69" s="346"/>
      <c r="CA69" s="346"/>
      <c r="CB69" s="346"/>
      <c r="CC69" s="240"/>
      <c r="CD69" s="240"/>
      <c r="CE69" s="240"/>
      <c r="CF69" s="241"/>
    </row>
    <row r="70" spans="81:84" ht="12.75">
      <c r="CC70" s="236"/>
      <c r="CD70" s="236"/>
      <c r="CE70" s="236"/>
      <c r="CF70" s="235"/>
    </row>
    <row r="71" spans="1:84" ht="12.75">
      <c r="A71" s="364" t="s">
        <v>5</v>
      </c>
      <c r="B71" s="365"/>
      <c r="C71" s="365"/>
      <c r="D71" s="368"/>
      <c r="E71" s="364" t="s">
        <v>13</v>
      </c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8"/>
      <c r="AN71" s="364" t="s">
        <v>69</v>
      </c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8"/>
      <c r="BB71" s="364" t="s">
        <v>72</v>
      </c>
      <c r="BC71" s="365"/>
      <c r="BD71" s="365"/>
      <c r="BE71" s="365"/>
      <c r="BF71" s="365"/>
      <c r="BG71" s="365"/>
      <c r="BH71" s="365"/>
      <c r="BI71" s="368"/>
      <c r="BJ71" s="364" t="s">
        <v>74</v>
      </c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236"/>
      <c r="CD71" s="236"/>
      <c r="CE71" s="236"/>
      <c r="CF71" s="235"/>
    </row>
    <row r="72" spans="1:84" ht="12.75">
      <c r="A72" s="366" t="s">
        <v>6</v>
      </c>
      <c r="B72" s="367"/>
      <c r="C72" s="367"/>
      <c r="D72" s="369"/>
      <c r="E72" s="366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9"/>
      <c r="AN72" s="366" t="s">
        <v>70</v>
      </c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9"/>
      <c r="BB72" s="366" t="s">
        <v>73</v>
      </c>
      <c r="BC72" s="367"/>
      <c r="BD72" s="367"/>
      <c r="BE72" s="367"/>
      <c r="BF72" s="367"/>
      <c r="BG72" s="367"/>
      <c r="BH72" s="367"/>
      <c r="BI72" s="369"/>
      <c r="BJ72" s="366" t="s">
        <v>75</v>
      </c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236"/>
      <c r="CD72" s="236"/>
      <c r="CE72" s="236"/>
      <c r="CF72" s="235"/>
    </row>
    <row r="73" spans="1:84" ht="12.75">
      <c r="A73" s="366"/>
      <c r="B73" s="367"/>
      <c r="C73" s="367"/>
      <c r="D73" s="369"/>
      <c r="E73" s="366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9"/>
      <c r="AN73" s="366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9"/>
      <c r="BB73" s="366"/>
      <c r="BC73" s="367"/>
      <c r="BD73" s="367"/>
      <c r="BE73" s="367"/>
      <c r="BF73" s="367"/>
      <c r="BG73" s="367"/>
      <c r="BH73" s="367"/>
      <c r="BI73" s="369"/>
      <c r="BJ73" s="366" t="s">
        <v>76</v>
      </c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236"/>
      <c r="CD73" s="236"/>
      <c r="CE73" s="236"/>
      <c r="CF73" s="235"/>
    </row>
    <row r="74" spans="1:84" ht="12.75">
      <c r="A74" s="366"/>
      <c r="B74" s="367"/>
      <c r="C74" s="367"/>
      <c r="D74" s="369"/>
      <c r="E74" s="366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9"/>
      <c r="AN74" s="366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9"/>
      <c r="BB74" s="366"/>
      <c r="BC74" s="367"/>
      <c r="BD74" s="367"/>
      <c r="BE74" s="367"/>
      <c r="BF74" s="367"/>
      <c r="BG74" s="367"/>
      <c r="BH74" s="367"/>
      <c r="BI74" s="369"/>
      <c r="BJ74" s="366" t="s">
        <v>78</v>
      </c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236"/>
      <c r="CD74" s="236"/>
      <c r="CE74" s="236"/>
      <c r="CF74" s="235"/>
    </row>
    <row r="75" spans="1:84" ht="15.75">
      <c r="A75" s="396">
        <v>1</v>
      </c>
      <c r="B75" s="397"/>
      <c r="C75" s="397"/>
      <c r="D75" s="398"/>
      <c r="E75" s="396">
        <v>2</v>
      </c>
      <c r="F75" s="397"/>
      <c r="G75" s="397"/>
      <c r="H75" s="397"/>
      <c r="I75" s="397"/>
      <c r="J75" s="397"/>
      <c r="K75" s="397"/>
      <c r="L75" s="397"/>
      <c r="M75" s="397"/>
      <c r="N75" s="397"/>
      <c r="O75" s="397"/>
      <c r="P75" s="397"/>
      <c r="Q75" s="397"/>
      <c r="R75" s="397"/>
      <c r="S75" s="397"/>
      <c r="T75" s="397"/>
      <c r="U75" s="397"/>
      <c r="V75" s="397"/>
      <c r="W75" s="397"/>
      <c r="X75" s="397"/>
      <c r="Y75" s="397"/>
      <c r="Z75" s="397"/>
      <c r="AA75" s="397"/>
      <c r="AB75" s="397"/>
      <c r="AC75" s="397"/>
      <c r="AD75" s="397"/>
      <c r="AE75" s="397"/>
      <c r="AF75" s="397"/>
      <c r="AG75" s="397"/>
      <c r="AH75" s="397"/>
      <c r="AI75" s="397"/>
      <c r="AJ75" s="397"/>
      <c r="AK75" s="397"/>
      <c r="AL75" s="397"/>
      <c r="AM75" s="398"/>
      <c r="AN75" s="396">
        <v>3</v>
      </c>
      <c r="AO75" s="397"/>
      <c r="AP75" s="397"/>
      <c r="AQ75" s="397"/>
      <c r="AR75" s="397"/>
      <c r="AS75" s="397"/>
      <c r="AT75" s="397"/>
      <c r="AU75" s="397"/>
      <c r="AV75" s="397"/>
      <c r="AW75" s="397"/>
      <c r="AX75" s="397"/>
      <c r="AY75" s="397"/>
      <c r="AZ75" s="397"/>
      <c r="BA75" s="398"/>
      <c r="BB75" s="396">
        <v>4</v>
      </c>
      <c r="BC75" s="397"/>
      <c r="BD75" s="397"/>
      <c r="BE75" s="397"/>
      <c r="BF75" s="397"/>
      <c r="BG75" s="397"/>
      <c r="BH75" s="397"/>
      <c r="BI75" s="398"/>
      <c r="BJ75" s="396">
        <v>5</v>
      </c>
      <c r="BK75" s="397"/>
      <c r="BL75" s="397"/>
      <c r="BM75" s="397"/>
      <c r="BN75" s="397"/>
      <c r="BO75" s="397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8"/>
      <c r="CC75" s="57" t="s">
        <v>153</v>
      </c>
      <c r="CD75" s="57" t="s">
        <v>211</v>
      </c>
      <c r="CE75" s="57" t="s">
        <v>411</v>
      </c>
      <c r="CF75" s="255" t="s">
        <v>412</v>
      </c>
    </row>
    <row r="76" spans="1:84" ht="12.75">
      <c r="A76" s="342">
        <v>1</v>
      </c>
      <c r="B76" s="343"/>
      <c r="C76" s="343"/>
      <c r="D76" s="344"/>
      <c r="E76" s="351" t="s">
        <v>166</v>
      </c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3"/>
      <c r="AN76" s="381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  <c r="AZ76" s="382"/>
      <c r="BA76" s="383"/>
      <c r="BB76" s="461"/>
      <c r="BC76" s="462"/>
      <c r="BD76" s="462"/>
      <c r="BE76" s="462"/>
      <c r="BF76" s="462"/>
      <c r="BG76" s="462"/>
      <c r="BH76" s="462"/>
      <c r="BI76" s="463"/>
      <c r="BJ76" s="381">
        <f>438480-58968-207180</f>
        <v>172332</v>
      </c>
      <c r="BK76" s="382"/>
      <c r="BL76" s="382"/>
      <c r="BM76" s="382"/>
      <c r="BN76" s="382"/>
      <c r="BO76" s="382"/>
      <c r="BP76" s="382"/>
      <c r="BQ76" s="382"/>
      <c r="BR76" s="382"/>
      <c r="BS76" s="382"/>
      <c r="BT76" s="382"/>
      <c r="BU76" s="382"/>
      <c r="BV76" s="382"/>
      <c r="BW76" s="382"/>
      <c r="BX76" s="382"/>
      <c r="BY76" s="382"/>
      <c r="BZ76" s="382"/>
      <c r="CA76" s="382"/>
      <c r="CB76" s="383"/>
      <c r="CC76" s="59">
        <f>265000</f>
        <v>265000</v>
      </c>
      <c r="CD76" s="59">
        <f>52344+52236+38268</f>
        <v>142848</v>
      </c>
      <c r="CE76" s="59">
        <f>CC76-CD76</f>
        <v>122152</v>
      </c>
      <c r="CF76" s="258">
        <f>BJ76-CC76</f>
        <v>-92668</v>
      </c>
    </row>
    <row r="77" spans="1:84" ht="12.75">
      <c r="A77" s="342">
        <v>2</v>
      </c>
      <c r="B77" s="343"/>
      <c r="C77" s="343"/>
      <c r="D77" s="344"/>
      <c r="E77" s="351" t="s">
        <v>423</v>
      </c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352"/>
      <c r="AK77" s="352"/>
      <c r="AL77" s="352"/>
      <c r="AM77" s="353"/>
      <c r="AN77" s="357"/>
      <c r="AO77" s="358"/>
      <c r="AP77" s="358"/>
      <c r="AQ77" s="358"/>
      <c r="AR77" s="358"/>
      <c r="AS77" s="358"/>
      <c r="AT77" s="358"/>
      <c r="AU77" s="358"/>
      <c r="AV77" s="358"/>
      <c r="AW77" s="358"/>
      <c r="AX77" s="358"/>
      <c r="AY77" s="358"/>
      <c r="AZ77" s="358"/>
      <c r="BA77" s="359"/>
      <c r="BB77" s="446"/>
      <c r="BC77" s="447"/>
      <c r="BD77" s="447"/>
      <c r="BE77" s="447"/>
      <c r="BF77" s="447"/>
      <c r="BG77" s="447"/>
      <c r="BH77" s="447"/>
      <c r="BI77" s="448"/>
      <c r="BJ77" s="381">
        <v>58968</v>
      </c>
      <c r="BK77" s="382"/>
      <c r="BL77" s="382"/>
      <c r="BM77" s="382"/>
      <c r="BN77" s="382"/>
      <c r="BO77" s="382"/>
      <c r="BP77" s="382"/>
      <c r="BQ77" s="382"/>
      <c r="BR77" s="382"/>
      <c r="BS77" s="382"/>
      <c r="BT77" s="382"/>
      <c r="BU77" s="382"/>
      <c r="BV77" s="382"/>
      <c r="BW77" s="382"/>
      <c r="BX77" s="382"/>
      <c r="BY77" s="382"/>
      <c r="BZ77" s="382"/>
      <c r="CA77" s="382"/>
      <c r="CB77" s="383"/>
      <c r="CC77" s="59">
        <v>58968</v>
      </c>
      <c r="CD77" s="59">
        <v>58968</v>
      </c>
      <c r="CE77" s="59">
        <f>CC77-CD77</f>
        <v>0</v>
      </c>
      <c r="CF77" s="258">
        <f>BJ77-CC77</f>
        <v>0</v>
      </c>
    </row>
    <row r="78" spans="1:84" ht="12.75">
      <c r="A78" s="342">
        <v>3</v>
      </c>
      <c r="B78" s="343"/>
      <c r="C78" s="343"/>
      <c r="D78" s="344"/>
      <c r="E78" s="351" t="s">
        <v>441</v>
      </c>
      <c r="F78" s="352"/>
      <c r="G78" s="352"/>
      <c r="H78" s="352"/>
      <c r="I78" s="352"/>
      <c r="J78" s="352"/>
      <c r="K78" s="352"/>
      <c r="L78" s="352"/>
      <c r="M78" s="352"/>
      <c r="N78" s="352"/>
      <c r="O78" s="352"/>
      <c r="P78" s="352"/>
      <c r="Q78" s="352"/>
      <c r="R78" s="352"/>
      <c r="S78" s="352"/>
      <c r="T78" s="352"/>
      <c r="U78" s="352"/>
      <c r="V78" s="352"/>
      <c r="W78" s="352"/>
      <c r="X78" s="352"/>
      <c r="Y78" s="352"/>
      <c r="Z78" s="352"/>
      <c r="AA78" s="352"/>
      <c r="AB78" s="352"/>
      <c r="AC78" s="352"/>
      <c r="AD78" s="352"/>
      <c r="AE78" s="352"/>
      <c r="AF78" s="352"/>
      <c r="AG78" s="352"/>
      <c r="AH78" s="352"/>
      <c r="AI78" s="352"/>
      <c r="AJ78" s="352"/>
      <c r="AK78" s="352"/>
      <c r="AL78" s="352"/>
      <c r="AM78" s="353"/>
      <c r="AN78" s="357"/>
      <c r="AO78" s="358"/>
      <c r="AP78" s="358"/>
      <c r="AQ78" s="358"/>
      <c r="AR78" s="358"/>
      <c r="AS78" s="358"/>
      <c r="AT78" s="358"/>
      <c r="AU78" s="358"/>
      <c r="AV78" s="358"/>
      <c r="AW78" s="358"/>
      <c r="AX78" s="358"/>
      <c r="AY78" s="358"/>
      <c r="AZ78" s="358"/>
      <c r="BA78" s="359"/>
      <c r="BB78" s="446"/>
      <c r="BC78" s="447"/>
      <c r="BD78" s="447"/>
      <c r="BE78" s="447"/>
      <c r="BF78" s="447"/>
      <c r="BG78" s="447"/>
      <c r="BH78" s="447"/>
      <c r="BI78" s="448"/>
      <c r="BJ78" s="357">
        <v>372305</v>
      </c>
      <c r="BK78" s="358"/>
      <c r="BL78" s="358"/>
      <c r="BM78" s="358"/>
      <c r="BN78" s="358"/>
      <c r="BO78" s="358"/>
      <c r="BP78" s="358"/>
      <c r="BQ78" s="358"/>
      <c r="BR78" s="358"/>
      <c r="BS78" s="358"/>
      <c r="BT78" s="358"/>
      <c r="BU78" s="358"/>
      <c r="BV78" s="358"/>
      <c r="BW78" s="358"/>
      <c r="BX78" s="358"/>
      <c r="BY78" s="358"/>
      <c r="BZ78" s="358"/>
      <c r="CA78" s="358"/>
      <c r="CB78" s="359"/>
      <c r="CE78" s="59">
        <f>CC78-CD78</f>
        <v>0</v>
      </c>
      <c r="CF78" s="258">
        <f>BJ78-CC78</f>
        <v>372305</v>
      </c>
    </row>
    <row r="79" spans="1:84" s="158" customFormat="1" ht="12.75">
      <c r="A79" s="443"/>
      <c r="B79" s="444"/>
      <c r="C79" s="444"/>
      <c r="D79" s="445"/>
      <c r="E79" s="432" t="s">
        <v>10</v>
      </c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4"/>
      <c r="AN79" s="432"/>
      <c r="AO79" s="433"/>
      <c r="AP79" s="433"/>
      <c r="AQ79" s="433"/>
      <c r="AR79" s="433"/>
      <c r="AS79" s="433"/>
      <c r="AT79" s="433"/>
      <c r="AU79" s="433"/>
      <c r="AV79" s="433"/>
      <c r="AW79" s="433"/>
      <c r="AX79" s="433"/>
      <c r="AY79" s="433"/>
      <c r="AZ79" s="433"/>
      <c r="BA79" s="434"/>
      <c r="BB79" s="429" t="s">
        <v>11</v>
      </c>
      <c r="BC79" s="430"/>
      <c r="BD79" s="430"/>
      <c r="BE79" s="430"/>
      <c r="BF79" s="430"/>
      <c r="BG79" s="430"/>
      <c r="BH79" s="430"/>
      <c r="BI79" s="431"/>
      <c r="BJ79" s="372">
        <f>SUM(BJ76:CB78)</f>
        <v>603605</v>
      </c>
      <c r="BK79" s="373"/>
      <c r="BL79" s="373"/>
      <c r="BM79" s="373"/>
      <c r="BN79" s="373"/>
      <c r="BO79" s="373"/>
      <c r="BP79" s="373"/>
      <c r="BQ79" s="373"/>
      <c r="BR79" s="373"/>
      <c r="BS79" s="373"/>
      <c r="BT79" s="373"/>
      <c r="BU79" s="373"/>
      <c r="BV79" s="373"/>
      <c r="BW79" s="373"/>
      <c r="BX79" s="373"/>
      <c r="BY79" s="373"/>
      <c r="BZ79" s="373"/>
      <c r="CA79" s="373"/>
      <c r="CB79" s="373"/>
      <c r="CC79" s="249"/>
      <c r="CD79" s="249"/>
      <c r="CE79" s="249"/>
      <c r="CF79" s="250"/>
    </row>
    <row r="80" spans="1:84" s="3" customFormat="1" ht="15.75">
      <c r="A80" s="363" t="s">
        <v>137</v>
      </c>
      <c r="B80" s="363"/>
      <c r="C80" s="363"/>
      <c r="D80" s="363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363"/>
      <c r="AE80" s="363"/>
      <c r="AF80" s="363"/>
      <c r="AG80" s="363"/>
      <c r="AH80" s="363"/>
      <c r="AI80" s="363"/>
      <c r="AJ80" s="363"/>
      <c r="AK80" s="363"/>
      <c r="AL80" s="363"/>
      <c r="AM80" s="363"/>
      <c r="AN80" s="363"/>
      <c r="AO80" s="363"/>
      <c r="AP80" s="363"/>
      <c r="AQ80" s="363"/>
      <c r="AR80" s="363"/>
      <c r="AS80" s="363"/>
      <c r="AT80" s="363"/>
      <c r="AU80" s="363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3"/>
      <c r="BJ80" s="363"/>
      <c r="BK80" s="363"/>
      <c r="BL80" s="363"/>
      <c r="BM80" s="363"/>
      <c r="BN80" s="363"/>
      <c r="BO80" s="363"/>
      <c r="BP80" s="363"/>
      <c r="BQ80" s="363"/>
      <c r="BR80" s="363"/>
      <c r="BS80" s="363"/>
      <c r="BT80" s="363"/>
      <c r="BU80" s="363"/>
      <c r="BV80" s="363"/>
      <c r="BW80" s="363"/>
      <c r="BX80" s="363"/>
      <c r="BY80" s="363"/>
      <c r="BZ80" s="363"/>
      <c r="CA80" s="363"/>
      <c r="CB80" s="363"/>
      <c r="CC80" s="240"/>
      <c r="CD80" s="240"/>
      <c r="CE80" s="240"/>
      <c r="CF80" s="241"/>
    </row>
    <row r="81" spans="1:84" s="6" customFormat="1" ht="9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243"/>
      <c r="CD81" s="243"/>
      <c r="CE81" s="243"/>
      <c r="CF81" s="244"/>
    </row>
    <row r="82" spans="1:84" s="3" customFormat="1" ht="15.75">
      <c r="A82" s="3" t="s">
        <v>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450" t="s">
        <v>143</v>
      </c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0"/>
      <c r="BA82" s="450"/>
      <c r="BB82" s="450"/>
      <c r="BC82" s="450"/>
      <c r="BD82" s="450"/>
      <c r="BE82" s="450"/>
      <c r="BF82" s="450"/>
      <c r="BG82" s="450"/>
      <c r="BH82" s="450"/>
      <c r="BI82" s="450"/>
      <c r="BJ82" s="450"/>
      <c r="BK82" s="450"/>
      <c r="BL82" s="450"/>
      <c r="BM82" s="450"/>
      <c r="BN82" s="450"/>
      <c r="BO82" s="450"/>
      <c r="BP82" s="450"/>
      <c r="BQ82" s="450"/>
      <c r="BR82" s="450"/>
      <c r="BS82" s="450"/>
      <c r="BT82" s="450"/>
      <c r="BU82" s="450"/>
      <c r="BV82" s="450"/>
      <c r="BW82" s="450"/>
      <c r="BX82" s="450"/>
      <c r="BY82" s="450"/>
      <c r="BZ82" s="450"/>
      <c r="CA82" s="450"/>
      <c r="CB82" s="450"/>
      <c r="CC82" s="240"/>
      <c r="CD82" s="240"/>
      <c r="CE82" s="240"/>
      <c r="CF82" s="241"/>
    </row>
    <row r="83" spans="1:84" s="6" customFormat="1" ht="9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243"/>
      <c r="CD83" s="243"/>
      <c r="CE83" s="243"/>
      <c r="CF83" s="244"/>
    </row>
    <row r="84" spans="1:84" s="3" customFormat="1" ht="45" customHeight="1">
      <c r="A84" s="3" t="s">
        <v>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346" t="s">
        <v>144</v>
      </c>
      <c r="AI84" s="346"/>
      <c r="AJ84" s="346"/>
      <c r="AK84" s="346"/>
      <c r="AL84" s="346"/>
      <c r="AM84" s="346"/>
      <c r="AN84" s="346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346"/>
      <c r="BC84" s="346"/>
      <c r="BD84" s="346"/>
      <c r="BE84" s="346"/>
      <c r="BF84" s="346"/>
      <c r="BG84" s="346"/>
      <c r="BH84" s="346"/>
      <c r="BI84" s="346"/>
      <c r="BJ84" s="346"/>
      <c r="BK84" s="346"/>
      <c r="BL84" s="346"/>
      <c r="BM84" s="346"/>
      <c r="BN84" s="346"/>
      <c r="BO84" s="346"/>
      <c r="BP84" s="346"/>
      <c r="BQ84" s="346"/>
      <c r="BR84" s="346"/>
      <c r="BS84" s="346"/>
      <c r="BT84" s="346"/>
      <c r="BU84" s="346"/>
      <c r="BV84" s="346"/>
      <c r="BW84" s="346"/>
      <c r="BX84" s="346"/>
      <c r="BY84" s="346"/>
      <c r="BZ84" s="346"/>
      <c r="CA84" s="346"/>
      <c r="CB84" s="346"/>
      <c r="CC84" s="240"/>
      <c r="CD84" s="240"/>
      <c r="CE84" s="240"/>
      <c r="CF84" s="241"/>
    </row>
    <row r="85" spans="81:84" ht="12.75">
      <c r="CC85" s="236"/>
      <c r="CD85" s="236"/>
      <c r="CE85" s="236"/>
      <c r="CF85" s="235"/>
    </row>
    <row r="86" spans="1:84" ht="12.75">
      <c r="A86" s="364" t="s">
        <v>5</v>
      </c>
      <c r="B86" s="365"/>
      <c r="C86" s="365"/>
      <c r="D86" s="368"/>
      <c r="E86" s="364" t="s">
        <v>13</v>
      </c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8"/>
      <c r="AN86" s="364" t="s">
        <v>69</v>
      </c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8"/>
      <c r="BB86" s="364" t="s">
        <v>72</v>
      </c>
      <c r="BC86" s="365"/>
      <c r="BD86" s="365"/>
      <c r="BE86" s="365"/>
      <c r="BF86" s="365"/>
      <c r="BG86" s="365"/>
      <c r="BH86" s="365"/>
      <c r="BI86" s="368"/>
      <c r="BJ86" s="364" t="s">
        <v>74</v>
      </c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236"/>
      <c r="CD86" s="236"/>
      <c r="CE86" s="236"/>
      <c r="CF86" s="235"/>
    </row>
    <row r="87" spans="1:84" ht="12.75">
      <c r="A87" s="366" t="s">
        <v>6</v>
      </c>
      <c r="B87" s="367"/>
      <c r="C87" s="367"/>
      <c r="D87" s="369"/>
      <c r="E87" s="366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9"/>
      <c r="AN87" s="366" t="s">
        <v>70</v>
      </c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9"/>
      <c r="BB87" s="366" t="s">
        <v>73</v>
      </c>
      <c r="BC87" s="367"/>
      <c r="BD87" s="367"/>
      <c r="BE87" s="367"/>
      <c r="BF87" s="367"/>
      <c r="BG87" s="367"/>
      <c r="BH87" s="367"/>
      <c r="BI87" s="369"/>
      <c r="BJ87" s="366" t="s">
        <v>75</v>
      </c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236"/>
      <c r="CD87" s="236"/>
      <c r="CE87" s="236"/>
      <c r="CF87" s="235"/>
    </row>
    <row r="88" spans="1:84" ht="12.75">
      <c r="A88" s="366"/>
      <c r="B88" s="367"/>
      <c r="C88" s="367"/>
      <c r="D88" s="369"/>
      <c r="E88" s="366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9"/>
      <c r="AN88" s="366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9"/>
      <c r="BB88" s="366"/>
      <c r="BC88" s="367"/>
      <c r="BD88" s="367"/>
      <c r="BE88" s="367"/>
      <c r="BF88" s="367"/>
      <c r="BG88" s="367"/>
      <c r="BH88" s="367"/>
      <c r="BI88" s="369"/>
      <c r="BJ88" s="366" t="s">
        <v>76</v>
      </c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236"/>
      <c r="CD88" s="236"/>
      <c r="CE88" s="236"/>
      <c r="CF88" s="235"/>
    </row>
    <row r="89" spans="1:84" ht="12.75">
      <c r="A89" s="366"/>
      <c r="B89" s="367"/>
      <c r="C89" s="367"/>
      <c r="D89" s="369"/>
      <c r="E89" s="366"/>
      <c r="F89" s="367"/>
      <c r="G89" s="367"/>
      <c r="H89" s="367"/>
      <c r="I89" s="367"/>
      <c r="J89" s="367"/>
      <c r="K89" s="367"/>
      <c r="L89" s="367"/>
      <c r="M89" s="367"/>
      <c r="N89" s="367"/>
      <c r="O89" s="367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9"/>
      <c r="AN89" s="366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9"/>
      <c r="BB89" s="366"/>
      <c r="BC89" s="367"/>
      <c r="BD89" s="367"/>
      <c r="BE89" s="367"/>
      <c r="BF89" s="367"/>
      <c r="BG89" s="367"/>
      <c r="BH89" s="367"/>
      <c r="BI89" s="369"/>
      <c r="BJ89" s="366" t="s">
        <v>78</v>
      </c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236"/>
      <c r="CD89" s="236"/>
      <c r="CE89" s="236"/>
      <c r="CF89" s="235"/>
    </row>
    <row r="90" spans="1:84" ht="12.75">
      <c r="A90" s="396">
        <v>1</v>
      </c>
      <c r="B90" s="397"/>
      <c r="C90" s="397"/>
      <c r="D90" s="398"/>
      <c r="E90" s="396">
        <v>2</v>
      </c>
      <c r="F90" s="397"/>
      <c r="G90" s="397"/>
      <c r="H90" s="397"/>
      <c r="I90" s="397"/>
      <c r="J90" s="397"/>
      <c r="K90" s="397"/>
      <c r="L90" s="397"/>
      <c r="M90" s="397"/>
      <c r="N90" s="397"/>
      <c r="O90" s="397"/>
      <c r="P90" s="397"/>
      <c r="Q90" s="397"/>
      <c r="R90" s="397"/>
      <c r="S90" s="397"/>
      <c r="T90" s="397"/>
      <c r="U90" s="397"/>
      <c r="V90" s="397"/>
      <c r="W90" s="397"/>
      <c r="X90" s="397"/>
      <c r="Y90" s="397"/>
      <c r="Z90" s="397"/>
      <c r="AA90" s="397"/>
      <c r="AB90" s="397"/>
      <c r="AC90" s="397"/>
      <c r="AD90" s="397"/>
      <c r="AE90" s="397"/>
      <c r="AF90" s="397"/>
      <c r="AG90" s="397"/>
      <c r="AH90" s="397"/>
      <c r="AI90" s="397"/>
      <c r="AJ90" s="397"/>
      <c r="AK90" s="397"/>
      <c r="AL90" s="397"/>
      <c r="AM90" s="398"/>
      <c r="AN90" s="396">
        <v>3</v>
      </c>
      <c r="AO90" s="397"/>
      <c r="AP90" s="397"/>
      <c r="AQ90" s="397"/>
      <c r="AR90" s="397"/>
      <c r="AS90" s="397"/>
      <c r="AT90" s="397"/>
      <c r="AU90" s="397"/>
      <c r="AV90" s="397"/>
      <c r="AW90" s="397"/>
      <c r="AX90" s="397"/>
      <c r="AY90" s="397"/>
      <c r="AZ90" s="397"/>
      <c r="BA90" s="398"/>
      <c r="BB90" s="396">
        <v>4</v>
      </c>
      <c r="BC90" s="397"/>
      <c r="BD90" s="397"/>
      <c r="BE90" s="397"/>
      <c r="BF90" s="397"/>
      <c r="BG90" s="397"/>
      <c r="BH90" s="397"/>
      <c r="BI90" s="398"/>
      <c r="BJ90" s="396">
        <v>5</v>
      </c>
      <c r="BK90" s="397"/>
      <c r="BL90" s="397"/>
      <c r="BM90" s="397"/>
      <c r="BN90" s="397"/>
      <c r="BO90" s="397"/>
      <c r="BP90" s="397"/>
      <c r="BQ90" s="397"/>
      <c r="BR90" s="397"/>
      <c r="BS90" s="397"/>
      <c r="BT90" s="397"/>
      <c r="BU90" s="397"/>
      <c r="BV90" s="397"/>
      <c r="BW90" s="397"/>
      <c r="BX90" s="397"/>
      <c r="BY90" s="397"/>
      <c r="BZ90" s="397"/>
      <c r="CA90" s="397"/>
      <c r="CB90" s="397"/>
      <c r="CC90" s="236"/>
      <c r="CD90" s="236"/>
      <c r="CE90" s="236"/>
      <c r="CF90" s="235"/>
    </row>
    <row r="91" spans="1:84" ht="12.75">
      <c r="A91" s="342"/>
      <c r="B91" s="343"/>
      <c r="C91" s="343"/>
      <c r="D91" s="344"/>
      <c r="E91" s="342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4"/>
      <c r="AN91" s="357"/>
      <c r="AO91" s="358"/>
      <c r="AP91" s="358"/>
      <c r="AQ91" s="358"/>
      <c r="AR91" s="358"/>
      <c r="AS91" s="358"/>
      <c r="AT91" s="358"/>
      <c r="AU91" s="358"/>
      <c r="AV91" s="358"/>
      <c r="AW91" s="358"/>
      <c r="AX91" s="358"/>
      <c r="AY91" s="358"/>
      <c r="AZ91" s="358"/>
      <c r="BA91" s="359"/>
      <c r="BB91" s="446"/>
      <c r="BC91" s="447"/>
      <c r="BD91" s="447"/>
      <c r="BE91" s="447"/>
      <c r="BF91" s="447"/>
      <c r="BG91" s="447"/>
      <c r="BH91" s="447"/>
      <c r="BI91" s="448"/>
      <c r="BJ91" s="357"/>
      <c r="BK91" s="358"/>
      <c r="BL91" s="358"/>
      <c r="BM91" s="358"/>
      <c r="BN91" s="358"/>
      <c r="BO91" s="358"/>
      <c r="BP91" s="358"/>
      <c r="BQ91" s="358"/>
      <c r="BR91" s="358"/>
      <c r="BS91" s="358"/>
      <c r="BT91" s="358"/>
      <c r="BU91" s="358"/>
      <c r="BV91" s="358"/>
      <c r="BW91" s="358"/>
      <c r="BX91" s="358"/>
      <c r="BY91" s="358"/>
      <c r="BZ91" s="358"/>
      <c r="CA91" s="358"/>
      <c r="CB91" s="358"/>
      <c r="CC91" s="236"/>
      <c r="CD91" s="236"/>
      <c r="CE91" s="236">
        <f>BJ91-CD91</f>
        <v>0</v>
      </c>
      <c r="CF91" s="235"/>
    </row>
    <row r="92" spans="1:84" ht="12.75">
      <c r="A92" s="342"/>
      <c r="B92" s="343"/>
      <c r="C92" s="343"/>
      <c r="D92" s="344"/>
      <c r="E92" s="342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4"/>
      <c r="AN92" s="357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9"/>
      <c r="BB92" s="446"/>
      <c r="BC92" s="447"/>
      <c r="BD92" s="447"/>
      <c r="BE92" s="447"/>
      <c r="BF92" s="447"/>
      <c r="BG92" s="447"/>
      <c r="BH92" s="447"/>
      <c r="BI92" s="448"/>
      <c r="BJ92" s="357"/>
      <c r="BK92" s="358"/>
      <c r="BL92" s="358"/>
      <c r="BM92" s="358"/>
      <c r="BN92" s="358"/>
      <c r="BO92" s="358"/>
      <c r="BP92" s="358"/>
      <c r="BQ92" s="358"/>
      <c r="BR92" s="358"/>
      <c r="BS92" s="358"/>
      <c r="BT92" s="358"/>
      <c r="BU92" s="358"/>
      <c r="BV92" s="358"/>
      <c r="BW92" s="358"/>
      <c r="BX92" s="358"/>
      <c r="BY92" s="358"/>
      <c r="BZ92" s="358"/>
      <c r="CA92" s="358"/>
      <c r="CB92" s="358"/>
      <c r="CC92" s="236"/>
      <c r="CD92" s="236"/>
      <c r="CE92" s="236"/>
      <c r="CF92" s="235"/>
    </row>
    <row r="93" spans="1:84" ht="12.75">
      <c r="A93" s="342"/>
      <c r="B93" s="343"/>
      <c r="C93" s="343"/>
      <c r="D93" s="344"/>
      <c r="E93" s="342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4"/>
      <c r="AN93" s="357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9"/>
      <c r="BB93" s="446"/>
      <c r="BC93" s="447"/>
      <c r="BD93" s="447"/>
      <c r="BE93" s="447"/>
      <c r="BF93" s="447"/>
      <c r="BG93" s="447"/>
      <c r="BH93" s="447"/>
      <c r="BI93" s="448"/>
      <c r="BJ93" s="357"/>
      <c r="BK93" s="358"/>
      <c r="BL93" s="358"/>
      <c r="BM93" s="358"/>
      <c r="BN93" s="358"/>
      <c r="BO93" s="358"/>
      <c r="BP93" s="358"/>
      <c r="BQ93" s="358"/>
      <c r="BR93" s="358"/>
      <c r="BS93" s="358"/>
      <c r="BT93" s="358"/>
      <c r="BU93" s="358"/>
      <c r="BV93" s="358"/>
      <c r="BW93" s="358"/>
      <c r="BX93" s="358"/>
      <c r="BY93" s="358"/>
      <c r="BZ93" s="358"/>
      <c r="CA93" s="358"/>
      <c r="CB93" s="358"/>
      <c r="CC93" s="236"/>
      <c r="CD93" s="236"/>
      <c r="CE93" s="236"/>
      <c r="CF93" s="235"/>
    </row>
    <row r="94" spans="1:84" s="32" customFormat="1" ht="12.75">
      <c r="A94" s="531"/>
      <c r="B94" s="532"/>
      <c r="C94" s="532"/>
      <c r="D94" s="533"/>
      <c r="E94" s="525" t="s">
        <v>10</v>
      </c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526"/>
      <c r="AE94" s="526"/>
      <c r="AF94" s="526"/>
      <c r="AG94" s="526"/>
      <c r="AH94" s="526"/>
      <c r="AI94" s="526"/>
      <c r="AJ94" s="526"/>
      <c r="AK94" s="526"/>
      <c r="AL94" s="526"/>
      <c r="AM94" s="527"/>
      <c r="AN94" s="525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6"/>
      <c r="AZ94" s="526"/>
      <c r="BA94" s="527"/>
      <c r="BB94" s="513" t="s">
        <v>11</v>
      </c>
      <c r="BC94" s="514"/>
      <c r="BD94" s="514"/>
      <c r="BE94" s="514"/>
      <c r="BF94" s="514"/>
      <c r="BG94" s="514"/>
      <c r="BH94" s="514"/>
      <c r="BI94" s="515"/>
      <c r="BJ94" s="529">
        <f>SUM(BJ91:CB93)</f>
        <v>0</v>
      </c>
      <c r="BK94" s="530"/>
      <c r="BL94" s="530"/>
      <c r="BM94" s="530"/>
      <c r="BN94" s="530"/>
      <c r="BO94" s="530"/>
      <c r="BP94" s="530"/>
      <c r="BQ94" s="530"/>
      <c r="BR94" s="530"/>
      <c r="BS94" s="530"/>
      <c r="BT94" s="530"/>
      <c r="BU94" s="530"/>
      <c r="BV94" s="530"/>
      <c r="BW94" s="530"/>
      <c r="BX94" s="530"/>
      <c r="BY94" s="530"/>
      <c r="BZ94" s="530"/>
      <c r="CA94" s="530"/>
      <c r="CB94" s="530"/>
      <c r="CC94" s="251"/>
      <c r="CD94" s="251"/>
      <c r="CE94" s="251"/>
      <c r="CF94" s="252"/>
    </row>
    <row r="95" spans="1:84" s="3" customFormat="1" ht="15.75">
      <c r="A95" s="363" t="s">
        <v>142</v>
      </c>
      <c r="B95" s="363"/>
      <c r="C95" s="363"/>
      <c r="D95" s="363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63"/>
      <c r="BJ95" s="363"/>
      <c r="BK95" s="363"/>
      <c r="BL95" s="363"/>
      <c r="BM95" s="36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240"/>
      <c r="CD95" s="240"/>
      <c r="CE95" s="240"/>
      <c r="CF95" s="241"/>
    </row>
    <row r="96" spans="1:84" s="6" customFormat="1" ht="9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243"/>
      <c r="CD96" s="243"/>
      <c r="CE96" s="243"/>
      <c r="CF96" s="244"/>
    </row>
    <row r="97" spans="1:84" s="3" customFormat="1" ht="15.75">
      <c r="A97" s="3" t="s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50" t="s">
        <v>143</v>
      </c>
      <c r="T97" s="450"/>
      <c r="U97" s="450"/>
      <c r="V97" s="450"/>
      <c r="W97" s="450"/>
      <c r="X97" s="450"/>
      <c r="Y97" s="450"/>
      <c r="Z97" s="450"/>
      <c r="AA97" s="450"/>
      <c r="AB97" s="450"/>
      <c r="AC97" s="450"/>
      <c r="AD97" s="450"/>
      <c r="AE97" s="450"/>
      <c r="AF97" s="450"/>
      <c r="AG97" s="450"/>
      <c r="AH97" s="450"/>
      <c r="AI97" s="450"/>
      <c r="AJ97" s="450"/>
      <c r="AK97" s="450"/>
      <c r="AL97" s="450"/>
      <c r="AM97" s="450"/>
      <c r="AN97" s="450"/>
      <c r="AO97" s="450"/>
      <c r="AP97" s="450"/>
      <c r="AQ97" s="450"/>
      <c r="AR97" s="450"/>
      <c r="AS97" s="450"/>
      <c r="AT97" s="450"/>
      <c r="AU97" s="450"/>
      <c r="AV97" s="450"/>
      <c r="AW97" s="450"/>
      <c r="AX97" s="450"/>
      <c r="AY97" s="450"/>
      <c r="AZ97" s="450"/>
      <c r="BA97" s="450"/>
      <c r="BB97" s="450"/>
      <c r="BC97" s="450"/>
      <c r="BD97" s="450"/>
      <c r="BE97" s="450"/>
      <c r="BF97" s="450"/>
      <c r="BG97" s="450"/>
      <c r="BH97" s="450"/>
      <c r="BI97" s="450"/>
      <c r="BJ97" s="450"/>
      <c r="BK97" s="450"/>
      <c r="BL97" s="450"/>
      <c r="BM97" s="450"/>
      <c r="BN97" s="450"/>
      <c r="BO97" s="450"/>
      <c r="BP97" s="450"/>
      <c r="BQ97" s="450"/>
      <c r="BR97" s="450"/>
      <c r="BS97" s="450"/>
      <c r="BT97" s="450"/>
      <c r="BU97" s="450"/>
      <c r="BV97" s="450"/>
      <c r="BW97" s="450"/>
      <c r="BX97" s="450"/>
      <c r="BY97" s="450"/>
      <c r="BZ97" s="450"/>
      <c r="CA97" s="450"/>
      <c r="CB97" s="450"/>
      <c r="CC97" s="240"/>
      <c r="CD97" s="240"/>
      <c r="CE97" s="240"/>
      <c r="CF97" s="241"/>
    </row>
    <row r="98" spans="1:84" s="6" customFormat="1" ht="9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243"/>
      <c r="CD98" s="243"/>
      <c r="CE98" s="243"/>
      <c r="CF98" s="244"/>
    </row>
    <row r="99" spans="5:84" s="17" customFormat="1" ht="12.75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00"/>
      <c r="CD99" s="253"/>
      <c r="CE99" s="253"/>
      <c r="CF99" s="254"/>
    </row>
    <row r="100" spans="1:84" s="3" customFormat="1" ht="15.75">
      <c r="A100" s="528" t="s">
        <v>145</v>
      </c>
      <c r="B100" s="528"/>
      <c r="C100" s="528"/>
      <c r="D100" s="528"/>
      <c r="E100" s="528"/>
      <c r="F100" s="528"/>
      <c r="G100" s="528"/>
      <c r="H100" s="528"/>
      <c r="I100" s="528"/>
      <c r="J100" s="528"/>
      <c r="K100" s="528"/>
      <c r="L100" s="528"/>
      <c r="M100" s="528"/>
      <c r="N100" s="528"/>
      <c r="O100" s="528"/>
      <c r="P100" s="528"/>
      <c r="Q100" s="528"/>
      <c r="R100" s="528"/>
      <c r="S100" s="528"/>
      <c r="T100" s="528"/>
      <c r="U100" s="528"/>
      <c r="V100" s="528"/>
      <c r="W100" s="528"/>
      <c r="X100" s="528"/>
      <c r="Y100" s="528"/>
      <c r="Z100" s="528"/>
      <c r="AA100" s="528"/>
      <c r="AB100" s="528"/>
      <c r="AC100" s="528"/>
      <c r="AD100" s="528"/>
      <c r="AE100" s="528"/>
      <c r="AF100" s="528"/>
      <c r="AG100" s="528"/>
      <c r="AH100" s="528"/>
      <c r="AI100" s="528"/>
      <c r="AJ100" s="528"/>
      <c r="AK100" s="528"/>
      <c r="AL100" s="528"/>
      <c r="AM100" s="528"/>
      <c r="AN100" s="528"/>
      <c r="AO100" s="528"/>
      <c r="AP100" s="528"/>
      <c r="AQ100" s="528"/>
      <c r="AR100" s="528"/>
      <c r="AS100" s="528"/>
      <c r="AT100" s="528"/>
      <c r="AU100" s="528"/>
      <c r="AV100" s="528"/>
      <c r="AW100" s="528"/>
      <c r="AX100" s="528"/>
      <c r="AY100" s="528"/>
      <c r="AZ100" s="528"/>
      <c r="BA100" s="528"/>
      <c r="BB100" s="528"/>
      <c r="BC100" s="528"/>
      <c r="BD100" s="528"/>
      <c r="BE100" s="528"/>
      <c r="BF100" s="528"/>
      <c r="BG100" s="528"/>
      <c r="BH100" s="528"/>
      <c r="BI100" s="528"/>
      <c r="BJ100" s="528"/>
      <c r="BK100" s="528"/>
      <c r="BL100" s="528"/>
      <c r="BM100" s="528"/>
      <c r="BN100" s="528"/>
      <c r="BO100" s="528"/>
      <c r="BP100" s="528"/>
      <c r="BQ100" s="528"/>
      <c r="BR100" s="528"/>
      <c r="BS100" s="528"/>
      <c r="BT100" s="528"/>
      <c r="BU100" s="528"/>
      <c r="BV100" s="528"/>
      <c r="BW100" s="528"/>
      <c r="BX100" s="528"/>
      <c r="BY100" s="528"/>
      <c r="BZ100" s="528"/>
      <c r="CA100" s="528"/>
      <c r="CB100" s="528"/>
      <c r="CC100" s="191"/>
      <c r="CD100" s="240"/>
      <c r="CE100" s="240"/>
      <c r="CF100" s="241"/>
    </row>
    <row r="101" spans="1:84" s="6" customFormat="1" ht="9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242"/>
      <c r="CD101" s="243"/>
      <c r="CE101" s="243"/>
      <c r="CF101" s="244"/>
    </row>
    <row r="102" spans="1:84" ht="12.75">
      <c r="A102" s="364" t="s">
        <v>5</v>
      </c>
      <c r="B102" s="365"/>
      <c r="C102" s="365"/>
      <c r="D102" s="368"/>
      <c r="E102" s="364" t="s">
        <v>13</v>
      </c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  <c r="AN102" s="365"/>
      <c r="AO102" s="365"/>
      <c r="AP102" s="365"/>
      <c r="AQ102" s="365"/>
      <c r="AR102" s="368"/>
      <c r="AS102" s="364" t="s">
        <v>18</v>
      </c>
      <c r="AT102" s="365"/>
      <c r="AU102" s="365"/>
      <c r="AV102" s="365"/>
      <c r="AW102" s="365"/>
      <c r="AX102" s="365"/>
      <c r="AY102" s="365"/>
      <c r="AZ102" s="365"/>
      <c r="BA102" s="365"/>
      <c r="BB102" s="368"/>
      <c r="BC102" s="364" t="s">
        <v>106</v>
      </c>
      <c r="BD102" s="365"/>
      <c r="BE102" s="365"/>
      <c r="BF102" s="365"/>
      <c r="BG102" s="365"/>
      <c r="BH102" s="365"/>
      <c r="BI102" s="365"/>
      <c r="BJ102" s="365"/>
      <c r="BK102" s="365"/>
      <c r="BL102" s="365"/>
      <c r="BM102" s="368"/>
      <c r="BN102" s="364" t="s">
        <v>22</v>
      </c>
      <c r="BO102" s="365"/>
      <c r="BP102" s="365"/>
      <c r="BQ102" s="365"/>
      <c r="BR102" s="365"/>
      <c r="BS102" s="365"/>
      <c r="BT102" s="365"/>
      <c r="BU102" s="365"/>
      <c r="BV102" s="365"/>
      <c r="BW102" s="365"/>
      <c r="BX102" s="365"/>
      <c r="BY102" s="365"/>
      <c r="BZ102" s="365"/>
      <c r="CA102" s="365"/>
      <c r="CB102" s="365"/>
      <c r="CC102" s="192"/>
      <c r="CD102" s="236"/>
      <c r="CE102" s="236"/>
      <c r="CF102" s="235"/>
    </row>
    <row r="103" spans="1:84" ht="12.75">
      <c r="A103" s="366" t="s">
        <v>6</v>
      </c>
      <c r="B103" s="367"/>
      <c r="C103" s="367"/>
      <c r="D103" s="369"/>
      <c r="E103" s="366"/>
      <c r="F103" s="367"/>
      <c r="G103" s="367"/>
      <c r="H103" s="367"/>
      <c r="I103" s="367"/>
      <c r="J103" s="367"/>
      <c r="K103" s="367"/>
      <c r="L103" s="367"/>
      <c r="M103" s="367"/>
      <c r="N103" s="367"/>
      <c r="O103" s="367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9"/>
      <c r="AS103" s="366"/>
      <c r="AT103" s="367"/>
      <c r="AU103" s="367"/>
      <c r="AV103" s="367"/>
      <c r="AW103" s="367"/>
      <c r="AX103" s="367"/>
      <c r="AY103" s="367"/>
      <c r="AZ103" s="367"/>
      <c r="BA103" s="367"/>
      <c r="BB103" s="369"/>
      <c r="BC103" s="366" t="s">
        <v>107</v>
      </c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9"/>
      <c r="BN103" s="366" t="s">
        <v>117</v>
      </c>
      <c r="BO103" s="367"/>
      <c r="BP103" s="367"/>
      <c r="BQ103" s="367"/>
      <c r="BR103" s="367"/>
      <c r="BS103" s="367"/>
      <c r="BT103" s="367"/>
      <c r="BU103" s="367"/>
      <c r="BV103" s="367"/>
      <c r="BW103" s="367"/>
      <c r="BX103" s="367"/>
      <c r="BY103" s="367"/>
      <c r="BZ103" s="367"/>
      <c r="CA103" s="367"/>
      <c r="CB103" s="367"/>
      <c r="CC103" s="192"/>
      <c r="CD103" s="236"/>
      <c r="CE103" s="236"/>
      <c r="CF103" s="235"/>
    </row>
    <row r="104" spans="1:84" ht="12.75">
      <c r="A104" s="366"/>
      <c r="B104" s="367"/>
      <c r="C104" s="367"/>
      <c r="D104" s="369"/>
      <c r="E104" s="366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9"/>
      <c r="AS104" s="366"/>
      <c r="AT104" s="367"/>
      <c r="AU104" s="367"/>
      <c r="AV104" s="367"/>
      <c r="AW104" s="367"/>
      <c r="AX104" s="367"/>
      <c r="AY104" s="367"/>
      <c r="AZ104" s="367"/>
      <c r="BA104" s="367"/>
      <c r="BB104" s="369"/>
      <c r="BC104" s="366" t="s">
        <v>17</v>
      </c>
      <c r="BD104" s="367"/>
      <c r="BE104" s="367"/>
      <c r="BF104" s="367"/>
      <c r="BG104" s="367"/>
      <c r="BH104" s="367"/>
      <c r="BI104" s="367"/>
      <c r="BJ104" s="367"/>
      <c r="BK104" s="367"/>
      <c r="BL104" s="367"/>
      <c r="BM104" s="369"/>
      <c r="BN104" s="366"/>
      <c r="BO104" s="367"/>
      <c r="BP104" s="367"/>
      <c r="BQ104" s="367"/>
      <c r="BR104" s="367"/>
      <c r="BS104" s="367"/>
      <c r="BT104" s="367"/>
      <c r="BU104" s="367"/>
      <c r="BV104" s="367"/>
      <c r="BW104" s="367"/>
      <c r="BX104" s="367"/>
      <c r="BY104" s="367"/>
      <c r="BZ104" s="367"/>
      <c r="CA104" s="367"/>
      <c r="CB104" s="367"/>
      <c r="CC104" s="192"/>
      <c r="CD104" s="236"/>
      <c r="CE104" s="236"/>
      <c r="CF104" s="235"/>
    </row>
    <row r="105" spans="1:84" ht="15.75">
      <c r="A105" s="396"/>
      <c r="B105" s="397"/>
      <c r="C105" s="397"/>
      <c r="D105" s="398"/>
      <c r="E105" s="396">
        <v>1</v>
      </c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  <c r="AH105" s="397"/>
      <c r="AI105" s="397"/>
      <c r="AJ105" s="397"/>
      <c r="AK105" s="397"/>
      <c r="AL105" s="397"/>
      <c r="AM105" s="397"/>
      <c r="AN105" s="397"/>
      <c r="AO105" s="397"/>
      <c r="AP105" s="397"/>
      <c r="AQ105" s="397"/>
      <c r="AR105" s="398"/>
      <c r="AS105" s="396">
        <v>2</v>
      </c>
      <c r="AT105" s="397"/>
      <c r="AU105" s="397"/>
      <c r="AV105" s="397"/>
      <c r="AW105" s="397"/>
      <c r="AX105" s="397"/>
      <c r="AY105" s="397"/>
      <c r="AZ105" s="397"/>
      <c r="BA105" s="397"/>
      <c r="BB105" s="398"/>
      <c r="BC105" s="396">
        <v>3</v>
      </c>
      <c r="BD105" s="397"/>
      <c r="BE105" s="397"/>
      <c r="BF105" s="397"/>
      <c r="BG105" s="397"/>
      <c r="BH105" s="397"/>
      <c r="BI105" s="397"/>
      <c r="BJ105" s="397"/>
      <c r="BK105" s="397"/>
      <c r="BL105" s="397"/>
      <c r="BM105" s="398"/>
      <c r="BN105" s="396">
        <v>4</v>
      </c>
      <c r="BO105" s="397"/>
      <c r="BP105" s="397"/>
      <c r="BQ105" s="397"/>
      <c r="BR105" s="397"/>
      <c r="BS105" s="397"/>
      <c r="BT105" s="397"/>
      <c r="BU105" s="397"/>
      <c r="BV105" s="397"/>
      <c r="BW105" s="397"/>
      <c r="BX105" s="397"/>
      <c r="BY105" s="397"/>
      <c r="BZ105" s="397"/>
      <c r="CA105" s="397"/>
      <c r="CB105" s="398"/>
      <c r="CC105" s="57" t="s">
        <v>153</v>
      </c>
      <c r="CD105" s="57" t="s">
        <v>211</v>
      </c>
      <c r="CE105" s="57" t="s">
        <v>411</v>
      </c>
      <c r="CF105" s="255" t="s">
        <v>412</v>
      </c>
    </row>
    <row r="106" spans="1:84" s="16" customFormat="1" ht="12.75">
      <c r="A106" s="479"/>
      <c r="B106" s="480"/>
      <c r="C106" s="480"/>
      <c r="D106" s="481"/>
      <c r="E106" s="479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480"/>
      <c r="AG106" s="480"/>
      <c r="AH106" s="480"/>
      <c r="AI106" s="480"/>
      <c r="AJ106" s="480"/>
      <c r="AK106" s="480"/>
      <c r="AL106" s="480"/>
      <c r="AM106" s="480"/>
      <c r="AN106" s="480"/>
      <c r="AO106" s="480"/>
      <c r="AP106" s="480"/>
      <c r="AQ106" s="480"/>
      <c r="AR106" s="481"/>
      <c r="AS106" s="470"/>
      <c r="AT106" s="471"/>
      <c r="AU106" s="471"/>
      <c r="AV106" s="471"/>
      <c r="AW106" s="471"/>
      <c r="AX106" s="471"/>
      <c r="AY106" s="471"/>
      <c r="AZ106" s="471"/>
      <c r="BA106" s="471"/>
      <c r="BB106" s="472"/>
      <c r="BC106" s="504"/>
      <c r="BD106" s="505"/>
      <c r="BE106" s="505"/>
      <c r="BF106" s="505"/>
      <c r="BG106" s="505"/>
      <c r="BH106" s="505"/>
      <c r="BI106" s="505"/>
      <c r="BJ106" s="505"/>
      <c r="BK106" s="505"/>
      <c r="BL106" s="505"/>
      <c r="BM106" s="506"/>
      <c r="BN106" s="501">
        <f>SUM(BN107:CB110)</f>
        <v>16915.620000000003</v>
      </c>
      <c r="BO106" s="502"/>
      <c r="BP106" s="502"/>
      <c r="BQ106" s="502"/>
      <c r="BR106" s="502"/>
      <c r="BS106" s="502"/>
      <c r="BT106" s="502"/>
      <c r="BU106" s="502"/>
      <c r="BV106" s="502"/>
      <c r="BW106" s="502"/>
      <c r="BX106" s="502"/>
      <c r="BY106" s="502"/>
      <c r="BZ106" s="502"/>
      <c r="CA106" s="502"/>
      <c r="CB106" s="503"/>
      <c r="CC106" s="60"/>
      <c r="CD106" s="61"/>
      <c r="CE106" s="61"/>
      <c r="CF106" s="256"/>
    </row>
    <row r="107" spans="1:84" s="14" customFormat="1" ht="12.75">
      <c r="A107" s="464"/>
      <c r="B107" s="465"/>
      <c r="C107" s="465"/>
      <c r="D107" s="466"/>
      <c r="E107" s="464" t="s">
        <v>387</v>
      </c>
      <c r="F107" s="465"/>
      <c r="G107" s="465"/>
      <c r="H107" s="465"/>
      <c r="I107" s="465"/>
      <c r="J107" s="465"/>
      <c r="K107" s="465"/>
      <c r="L107" s="465"/>
      <c r="M107" s="465"/>
      <c r="N107" s="465"/>
      <c r="O107" s="465"/>
      <c r="P107" s="465"/>
      <c r="Q107" s="465"/>
      <c r="R107" s="465"/>
      <c r="S107" s="465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6"/>
      <c r="AS107" s="473"/>
      <c r="AT107" s="474"/>
      <c r="AU107" s="474"/>
      <c r="AV107" s="474"/>
      <c r="AW107" s="474"/>
      <c r="AX107" s="474"/>
      <c r="AY107" s="474"/>
      <c r="AZ107" s="474"/>
      <c r="BA107" s="474"/>
      <c r="BB107" s="475"/>
      <c r="BC107" s="476"/>
      <c r="BD107" s="477"/>
      <c r="BE107" s="477"/>
      <c r="BF107" s="477"/>
      <c r="BG107" s="477"/>
      <c r="BH107" s="477"/>
      <c r="BI107" s="477"/>
      <c r="BJ107" s="477"/>
      <c r="BK107" s="477"/>
      <c r="BL107" s="477"/>
      <c r="BM107" s="478"/>
      <c r="BN107" s="467">
        <v>16267.62</v>
      </c>
      <c r="BO107" s="468"/>
      <c r="BP107" s="468"/>
      <c r="BQ107" s="468"/>
      <c r="BR107" s="468"/>
      <c r="BS107" s="468"/>
      <c r="BT107" s="468"/>
      <c r="BU107" s="468"/>
      <c r="BV107" s="468"/>
      <c r="BW107" s="468"/>
      <c r="BX107" s="468"/>
      <c r="BY107" s="468"/>
      <c r="BZ107" s="468"/>
      <c r="CA107" s="468"/>
      <c r="CB107" s="469"/>
      <c r="CC107" s="55"/>
      <c r="CD107" s="55"/>
      <c r="CE107" s="55">
        <f>BN107-CD107</f>
        <v>16267.62</v>
      </c>
      <c r="CF107" s="202"/>
    </row>
    <row r="108" spans="1:84" s="14" customFormat="1" ht="12.75">
      <c r="A108" s="464"/>
      <c r="B108" s="465"/>
      <c r="C108" s="465"/>
      <c r="D108" s="466"/>
      <c r="E108" s="464" t="s">
        <v>392</v>
      </c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6"/>
      <c r="AS108" s="473"/>
      <c r="AT108" s="474"/>
      <c r="AU108" s="474"/>
      <c r="AV108" s="474"/>
      <c r="AW108" s="474"/>
      <c r="AX108" s="474"/>
      <c r="AY108" s="474"/>
      <c r="AZ108" s="474"/>
      <c r="BA108" s="474"/>
      <c r="BB108" s="475"/>
      <c r="BC108" s="476"/>
      <c r="BD108" s="477"/>
      <c r="BE108" s="477"/>
      <c r="BF108" s="477"/>
      <c r="BG108" s="477"/>
      <c r="BH108" s="477"/>
      <c r="BI108" s="477"/>
      <c r="BJ108" s="477"/>
      <c r="BK108" s="477"/>
      <c r="BL108" s="477"/>
      <c r="BM108" s="478"/>
      <c r="BN108" s="467">
        <v>648</v>
      </c>
      <c r="BO108" s="468"/>
      <c r="BP108" s="468"/>
      <c r="BQ108" s="468"/>
      <c r="BR108" s="468"/>
      <c r="BS108" s="468"/>
      <c r="BT108" s="468"/>
      <c r="BU108" s="468"/>
      <c r="BV108" s="468"/>
      <c r="BW108" s="468"/>
      <c r="BX108" s="468"/>
      <c r="BY108" s="468"/>
      <c r="BZ108" s="468"/>
      <c r="CA108" s="468"/>
      <c r="CB108" s="469"/>
      <c r="CC108" s="55"/>
      <c r="CD108" s="55"/>
      <c r="CE108" s="55">
        <f>BN108-CD108</f>
        <v>648</v>
      </c>
      <c r="CF108" s="202"/>
    </row>
    <row r="109" spans="1:84" s="14" customFormat="1" ht="12.75">
      <c r="A109" s="464"/>
      <c r="B109" s="465"/>
      <c r="C109" s="465"/>
      <c r="D109" s="466"/>
      <c r="E109" s="464"/>
      <c r="F109" s="465"/>
      <c r="G109" s="465"/>
      <c r="H109" s="465"/>
      <c r="I109" s="465"/>
      <c r="J109" s="465"/>
      <c r="K109" s="465"/>
      <c r="L109" s="465"/>
      <c r="M109" s="465"/>
      <c r="N109" s="465"/>
      <c r="O109" s="465"/>
      <c r="P109" s="465"/>
      <c r="Q109" s="465"/>
      <c r="R109" s="465"/>
      <c r="S109" s="465"/>
      <c r="T109" s="465"/>
      <c r="U109" s="465"/>
      <c r="V109" s="465"/>
      <c r="W109" s="465"/>
      <c r="X109" s="465"/>
      <c r="Y109" s="465"/>
      <c r="Z109" s="465"/>
      <c r="AA109" s="465"/>
      <c r="AB109" s="465"/>
      <c r="AC109" s="465"/>
      <c r="AD109" s="465"/>
      <c r="AE109" s="465"/>
      <c r="AF109" s="465"/>
      <c r="AG109" s="465"/>
      <c r="AH109" s="465"/>
      <c r="AI109" s="465"/>
      <c r="AJ109" s="465"/>
      <c r="AK109" s="465"/>
      <c r="AL109" s="465"/>
      <c r="AM109" s="465"/>
      <c r="AN109" s="465"/>
      <c r="AO109" s="465"/>
      <c r="AP109" s="465"/>
      <c r="AQ109" s="465"/>
      <c r="AR109" s="466"/>
      <c r="AS109" s="473"/>
      <c r="AT109" s="474"/>
      <c r="AU109" s="474"/>
      <c r="AV109" s="474"/>
      <c r="AW109" s="474"/>
      <c r="AX109" s="474"/>
      <c r="AY109" s="474"/>
      <c r="AZ109" s="474"/>
      <c r="BA109" s="474"/>
      <c r="BB109" s="475"/>
      <c r="BC109" s="476"/>
      <c r="BD109" s="477"/>
      <c r="BE109" s="477"/>
      <c r="BF109" s="477"/>
      <c r="BG109" s="477"/>
      <c r="BH109" s="477"/>
      <c r="BI109" s="477"/>
      <c r="BJ109" s="477"/>
      <c r="BK109" s="477"/>
      <c r="BL109" s="477"/>
      <c r="BM109" s="478"/>
      <c r="BN109" s="467">
        <f>AS109*BC109</f>
        <v>0</v>
      </c>
      <c r="BO109" s="468"/>
      <c r="BP109" s="468"/>
      <c r="BQ109" s="468"/>
      <c r="BR109" s="468"/>
      <c r="BS109" s="468"/>
      <c r="BT109" s="468"/>
      <c r="BU109" s="468"/>
      <c r="BV109" s="468"/>
      <c r="BW109" s="468"/>
      <c r="BX109" s="468"/>
      <c r="BY109" s="468"/>
      <c r="BZ109" s="468"/>
      <c r="CA109" s="468"/>
      <c r="CB109" s="469"/>
      <c r="CC109" s="55"/>
      <c r="CD109" s="55"/>
      <c r="CE109" s="55">
        <f>BN109-CD109</f>
        <v>0</v>
      </c>
      <c r="CF109" s="202"/>
    </row>
    <row r="110" spans="1:84" s="14" customFormat="1" ht="12.75">
      <c r="A110" s="464"/>
      <c r="B110" s="465"/>
      <c r="C110" s="465"/>
      <c r="D110" s="466"/>
      <c r="E110" s="464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5"/>
      <c r="AC110" s="465"/>
      <c r="AD110" s="465"/>
      <c r="AE110" s="465"/>
      <c r="AF110" s="465"/>
      <c r="AG110" s="465"/>
      <c r="AH110" s="465"/>
      <c r="AI110" s="465"/>
      <c r="AJ110" s="465"/>
      <c r="AK110" s="465"/>
      <c r="AL110" s="465"/>
      <c r="AM110" s="465"/>
      <c r="AN110" s="465"/>
      <c r="AO110" s="465"/>
      <c r="AP110" s="465"/>
      <c r="AQ110" s="465"/>
      <c r="AR110" s="466"/>
      <c r="AS110" s="473"/>
      <c r="AT110" s="474"/>
      <c r="AU110" s="474"/>
      <c r="AV110" s="474"/>
      <c r="AW110" s="474"/>
      <c r="AX110" s="474"/>
      <c r="AY110" s="474"/>
      <c r="AZ110" s="474"/>
      <c r="BA110" s="474"/>
      <c r="BB110" s="475"/>
      <c r="BC110" s="476"/>
      <c r="BD110" s="477"/>
      <c r="BE110" s="477"/>
      <c r="BF110" s="477"/>
      <c r="BG110" s="477"/>
      <c r="BH110" s="477"/>
      <c r="BI110" s="477"/>
      <c r="BJ110" s="477"/>
      <c r="BK110" s="477"/>
      <c r="BL110" s="477"/>
      <c r="BM110" s="478"/>
      <c r="BN110" s="467">
        <f>AS110*BC110</f>
        <v>0</v>
      </c>
      <c r="BO110" s="468"/>
      <c r="BP110" s="468"/>
      <c r="BQ110" s="468"/>
      <c r="BR110" s="468"/>
      <c r="BS110" s="468"/>
      <c r="BT110" s="468"/>
      <c r="BU110" s="468"/>
      <c r="BV110" s="468"/>
      <c r="BW110" s="468"/>
      <c r="BX110" s="468"/>
      <c r="BY110" s="468"/>
      <c r="BZ110" s="468"/>
      <c r="CA110" s="468"/>
      <c r="CB110" s="469"/>
      <c r="CC110" s="55"/>
      <c r="CD110" s="55"/>
      <c r="CE110" s="55">
        <f>BN110-CD110</f>
        <v>0</v>
      </c>
      <c r="CF110" s="202"/>
    </row>
    <row r="111" spans="1:84" s="32" customFormat="1" ht="12.75">
      <c r="A111" s="482"/>
      <c r="B111" s="483"/>
      <c r="C111" s="483"/>
      <c r="D111" s="484"/>
      <c r="E111" s="482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483"/>
      <c r="W111" s="483"/>
      <c r="X111" s="483"/>
      <c r="Y111" s="483"/>
      <c r="Z111" s="483"/>
      <c r="AA111" s="483"/>
      <c r="AB111" s="483"/>
      <c r="AC111" s="483"/>
      <c r="AD111" s="483"/>
      <c r="AE111" s="483"/>
      <c r="AF111" s="483"/>
      <c r="AG111" s="483"/>
      <c r="AH111" s="483"/>
      <c r="AI111" s="483"/>
      <c r="AJ111" s="483"/>
      <c r="AK111" s="483"/>
      <c r="AL111" s="483"/>
      <c r="AM111" s="483"/>
      <c r="AN111" s="483"/>
      <c r="AO111" s="483"/>
      <c r="AP111" s="483"/>
      <c r="AQ111" s="483"/>
      <c r="AR111" s="484"/>
      <c r="AS111" s="522"/>
      <c r="AT111" s="523"/>
      <c r="AU111" s="523"/>
      <c r="AV111" s="523"/>
      <c r="AW111" s="523"/>
      <c r="AX111" s="523"/>
      <c r="AY111" s="523"/>
      <c r="AZ111" s="523"/>
      <c r="BA111" s="523"/>
      <c r="BB111" s="524"/>
      <c r="BC111" s="516"/>
      <c r="BD111" s="517"/>
      <c r="BE111" s="517"/>
      <c r="BF111" s="517"/>
      <c r="BG111" s="517"/>
      <c r="BH111" s="517"/>
      <c r="BI111" s="517"/>
      <c r="BJ111" s="517"/>
      <c r="BK111" s="517"/>
      <c r="BL111" s="517"/>
      <c r="BM111" s="518"/>
      <c r="BN111" s="519">
        <f>BN106</f>
        <v>16915.620000000003</v>
      </c>
      <c r="BO111" s="520"/>
      <c r="BP111" s="520"/>
      <c r="BQ111" s="520"/>
      <c r="BR111" s="520"/>
      <c r="BS111" s="520"/>
      <c r="BT111" s="520"/>
      <c r="BU111" s="520"/>
      <c r="BV111" s="520"/>
      <c r="BW111" s="520"/>
      <c r="BX111" s="520"/>
      <c r="BY111" s="520"/>
      <c r="BZ111" s="520"/>
      <c r="CA111" s="520"/>
      <c r="CB111" s="521"/>
      <c r="CC111" s="56"/>
      <c r="CD111" s="56"/>
      <c r="CE111" s="56"/>
      <c r="CF111" s="257"/>
    </row>
    <row r="112" spans="81:84" ht="12.75">
      <c r="CC112" s="236"/>
      <c r="CD112" s="236"/>
      <c r="CE112" s="236"/>
      <c r="CF112" s="235"/>
    </row>
    <row r="113" spans="81:84" ht="12.75">
      <c r="CC113" s="236"/>
      <c r="CD113" s="236"/>
      <c r="CE113" s="236"/>
      <c r="CF113" s="235"/>
    </row>
    <row r="114" spans="81:84" ht="12.75">
      <c r="CC114" s="236"/>
      <c r="CD114" s="236"/>
      <c r="CE114" s="236"/>
      <c r="CF114" s="235"/>
    </row>
    <row r="115" spans="81:84" ht="12.75">
      <c r="CC115" s="236"/>
      <c r="CD115" s="236"/>
      <c r="CE115" s="236"/>
      <c r="CF115" s="235"/>
    </row>
    <row r="116" spans="81:84" ht="12.75">
      <c r="CC116" s="236"/>
      <c r="CD116" s="236"/>
      <c r="CE116" s="236"/>
      <c r="CF116" s="235"/>
    </row>
    <row r="117" spans="81:84" ht="12.75">
      <c r="CC117" s="236"/>
      <c r="CD117" s="236"/>
      <c r="CE117" s="236"/>
      <c r="CF117" s="235"/>
    </row>
    <row r="118" spans="81:84" ht="12.75">
      <c r="CC118" s="236"/>
      <c r="CD118" s="236"/>
      <c r="CE118" s="236"/>
      <c r="CF118" s="235"/>
    </row>
    <row r="119" spans="81:84" ht="12.75">
      <c r="CC119" s="236"/>
      <c r="CD119" s="236"/>
      <c r="CE119" s="236"/>
      <c r="CF119" s="235"/>
    </row>
    <row r="120" spans="81:84" ht="12.75">
      <c r="CC120" s="236"/>
      <c r="CD120" s="236"/>
      <c r="CE120" s="236"/>
      <c r="CF120" s="235"/>
    </row>
    <row r="121" spans="74:84" ht="12.75">
      <c r="BV121" s="235"/>
      <c r="BW121" s="235"/>
      <c r="BX121" s="235"/>
      <c r="BY121" s="235"/>
      <c r="BZ121" s="235"/>
      <c r="CA121" s="235"/>
      <c r="CB121" s="235"/>
      <c r="CC121" s="236"/>
      <c r="CD121" s="236"/>
      <c r="CE121" s="236"/>
      <c r="CF121" s="235"/>
    </row>
    <row r="122" spans="74:84" ht="12.75">
      <c r="BV122" s="235"/>
      <c r="BW122" s="235"/>
      <c r="BX122" s="235"/>
      <c r="BY122" s="235"/>
      <c r="BZ122" s="235"/>
      <c r="CA122" s="235"/>
      <c r="CB122" s="235"/>
      <c r="CC122" s="236"/>
      <c r="CD122" s="236"/>
      <c r="CE122" s="236"/>
      <c r="CF122" s="235"/>
    </row>
    <row r="123" spans="74:84" ht="12.75">
      <c r="BV123" s="235"/>
      <c r="BW123" s="235"/>
      <c r="BX123" s="235"/>
      <c r="BY123" s="235"/>
      <c r="BZ123" s="235"/>
      <c r="CA123" s="235"/>
      <c r="CB123" s="235"/>
      <c r="CC123" s="236"/>
      <c r="CD123" s="236"/>
      <c r="CE123" s="236"/>
      <c r="CF123" s="235"/>
    </row>
    <row r="124" spans="74:84" ht="12.75">
      <c r="BV124" s="235"/>
      <c r="BW124" s="235"/>
      <c r="BX124" s="235"/>
      <c r="BY124" s="235"/>
      <c r="BZ124" s="235"/>
      <c r="CA124" s="235"/>
      <c r="CB124" s="235"/>
      <c r="CC124" s="236"/>
      <c r="CD124" s="236"/>
      <c r="CE124" s="236"/>
      <c r="CF124" s="235"/>
    </row>
    <row r="125" spans="74:84" ht="12.75">
      <c r="BV125" s="235"/>
      <c r="BW125" s="235"/>
      <c r="BX125" s="235"/>
      <c r="BY125" s="235"/>
      <c r="BZ125" s="235"/>
      <c r="CA125" s="235"/>
      <c r="CB125" s="235"/>
      <c r="CC125" s="236"/>
      <c r="CD125" s="236"/>
      <c r="CE125" s="236"/>
      <c r="CF125" s="235"/>
    </row>
    <row r="126" spans="74:84" ht="12.75">
      <c r="BV126" s="235"/>
      <c r="BW126" s="235"/>
      <c r="BX126" s="235"/>
      <c r="BY126" s="235"/>
      <c r="BZ126" s="235"/>
      <c r="CA126" s="235"/>
      <c r="CB126" s="235"/>
      <c r="CC126" s="236"/>
      <c r="CD126" s="236"/>
      <c r="CE126" s="236"/>
      <c r="CF126" s="235"/>
    </row>
    <row r="127" spans="74:84" ht="12.75">
      <c r="BV127" s="235"/>
      <c r="BW127" s="235"/>
      <c r="BX127" s="235"/>
      <c r="BY127" s="235"/>
      <c r="BZ127" s="235"/>
      <c r="CA127" s="235"/>
      <c r="CB127" s="235"/>
      <c r="CC127" s="236"/>
      <c r="CD127" s="236"/>
      <c r="CE127" s="236"/>
      <c r="CF127" s="235"/>
    </row>
    <row r="128" spans="74:84" ht="12.75">
      <c r="BV128" s="235"/>
      <c r="BW128" s="235"/>
      <c r="BX128" s="235"/>
      <c r="BY128" s="235"/>
      <c r="BZ128" s="235"/>
      <c r="CA128" s="235"/>
      <c r="CB128" s="235"/>
      <c r="CC128" s="236"/>
      <c r="CD128" s="236"/>
      <c r="CE128" s="236"/>
      <c r="CF128" s="235"/>
    </row>
    <row r="129" spans="74:84" ht="12.75">
      <c r="BV129" s="235"/>
      <c r="BW129" s="235"/>
      <c r="BX129" s="235"/>
      <c r="BY129" s="235"/>
      <c r="BZ129" s="235"/>
      <c r="CA129" s="235"/>
      <c r="CB129" s="235"/>
      <c r="CC129" s="236"/>
      <c r="CD129" s="236"/>
      <c r="CE129" s="236"/>
      <c r="CF129" s="235"/>
    </row>
    <row r="130" spans="74:84" ht="12.75">
      <c r="BV130" s="235"/>
      <c r="BW130" s="235"/>
      <c r="BX130" s="235"/>
      <c r="BY130" s="235"/>
      <c r="BZ130" s="235"/>
      <c r="CA130" s="235"/>
      <c r="CB130" s="235"/>
      <c r="CC130" s="236"/>
      <c r="CD130" s="236"/>
      <c r="CE130" s="236"/>
      <c r="CF130" s="235"/>
    </row>
    <row r="131" spans="74:84" ht="12.75">
      <c r="BV131" s="235"/>
      <c r="BW131" s="235"/>
      <c r="BX131" s="235"/>
      <c r="BY131" s="235"/>
      <c r="BZ131" s="235"/>
      <c r="CA131" s="235"/>
      <c r="CB131" s="235"/>
      <c r="CC131" s="236"/>
      <c r="CD131" s="236"/>
      <c r="CE131" s="236"/>
      <c r="CF131" s="235"/>
    </row>
    <row r="132" spans="74:84" ht="12.75">
      <c r="BV132" s="235"/>
      <c r="BW132" s="235"/>
      <c r="BX132" s="235"/>
      <c r="BY132" s="235"/>
      <c r="BZ132" s="235"/>
      <c r="CA132" s="235"/>
      <c r="CB132" s="235"/>
      <c r="CC132" s="236"/>
      <c r="CD132" s="236"/>
      <c r="CE132" s="236"/>
      <c r="CF132" s="235"/>
    </row>
    <row r="133" spans="74:84" ht="12.75">
      <c r="BV133" s="235"/>
      <c r="BW133" s="235"/>
      <c r="BX133" s="235"/>
      <c r="BY133" s="235"/>
      <c r="BZ133" s="235"/>
      <c r="CA133" s="235"/>
      <c r="CB133" s="235"/>
      <c r="CC133" s="236"/>
      <c r="CD133" s="236"/>
      <c r="CE133" s="236"/>
      <c r="CF133" s="235"/>
    </row>
    <row r="134" spans="74:84" ht="12.75">
      <c r="BV134" s="235"/>
      <c r="BW134" s="235"/>
      <c r="BX134" s="235"/>
      <c r="BY134" s="235"/>
      <c r="BZ134" s="235"/>
      <c r="CA134" s="235"/>
      <c r="CB134" s="235"/>
      <c r="CC134" s="236"/>
      <c r="CD134" s="236"/>
      <c r="CE134" s="236"/>
      <c r="CF134" s="235"/>
    </row>
    <row r="135" spans="74:84" ht="12.75">
      <c r="BV135" s="235"/>
      <c r="BW135" s="235"/>
      <c r="BX135" s="235"/>
      <c r="BY135" s="235"/>
      <c r="BZ135" s="235"/>
      <c r="CA135" s="235"/>
      <c r="CB135" s="235"/>
      <c r="CC135" s="236"/>
      <c r="CD135" s="236"/>
      <c r="CE135" s="236"/>
      <c r="CF135" s="235"/>
    </row>
    <row r="136" spans="74:84" ht="12.75">
      <c r="BV136" s="235"/>
      <c r="BW136" s="235"/>
      <c r="BX136" s="235"/>
      <c r="BY136" s="235"/>
      <c r="BZ136" s="235"/>
      <c r="CA136" s="235"/>
      <c r="CB136" s="235"/>
      <c r="CC136" s="236"/>
      <c r="CD136" s="236"/>
      <c r="CE136" s="236"/>
      <c r="CF136" s="235"/>
    </row>
    <row r="137" spans="74:84" ht="12.75">
      <c r="BV137" s="235"/>
      <c r="BW137" s="235"/>
      <c r="BX137" s="235"/>
      <c r="BY137" s="235"/>
      <c r="BZ137" s="235"/>
      <c r="CA137" s="235"/>
      <c r="CB137" s="235"/>
      <c r="CC137" s="236"/>
      <c r="CD137" s="236"/>
      <c r="CE137" s="236"/>
      <c r="CF137" s="235"/>
    </row>
    <row r="138" spans="74:84" ht="12.75">
      <c r="BV138" s="235"/>
      <c r="BW138" s="235"/>
      <c r="BX138" s="235"/>
      <c r="BY138" s="235"/>
      <c r="BZ138" s="235"/>
      <c r="CA138" s="235"/>
      <c r="CB138" s="235"/>
      <c r="CC138" s="236"/>
      <c r="CD138" s="236"/>
      <c r="CE138" s="236"/>
      <c r="CF138" s="235"/>
    </row>
    <row r="139" spans="74:84" ht="12.75">
      <c r="BV139" s="235"/>
      <c r="BW139" s="235"/>
      <c r="BX139" s="235"/>
      <c r="BY139" s="235"/>
      <c r="BZ139" s="235"/>
      <c r="CA139" s="235"/>
      <c r="CB139" s="235"/>
      <c r="CC139" s="236"/>
      <c r="CD139" s="236"/>
      <c r="CE139" s="236"/>
      <c r="CF139" s="235"/>
    </row>
    <row r="140" spans="74:84" ht="12.75">
      <c r="BV140" s="235"/>
      <c r="BW140" s="235"/>
      <c r="BX140" s="235"/>
      <c r="BY140" s="235"/>
      <c r="BZ140" s="235"/>
      <c r="CA140" s="235"/>
      <c r="CB140" s="235"/>
      <c r="CC140" s="236"/>
      <c r="CD140" s="236"/>
      <c r="CE140" s="236"/>
      <c r="CF140" s="235"/>
    </row>
    <row r="141" spans="74:84" ht="12.75">
      <c r="BV141" s="235"/>
      <c r="BW141" s="235"/>
      <c r="BX141" s="235"/>
      <c r="BY141" s="235"/>
      <c r="BZ141" s="235"/>
      <c r="CA141" s="235"/>
      <c r="CB141" s="235"/>
      <c r="CC141" s="236"/>
      <c r="CD141" s="236"/>
      <c r="CE141" s="236"/>
      <c r="CF141" s="235"/>
    </row>
  </sheetData>
  <sheetProtection/>
  <mergeCells count="327">
    <mergeCell ref="A92:D92"/>
    <mergeCell ref="E92:AM92"/>
    <mergeCell ref="A88:D88"/>
    <mergeCell ref="BB89:BI89"/>
    <mergeCell ref="A93:D93"/>
    <mergeCell ref="BJ91:CB91"/>
    <mergeCell ref="AN93:BA93"/>
    <mergeCell ref="BB93:BI93"/>
    <mergeCell ref="BJ93:CB93"/>
    <mergeCell ref="A91:D91"/>
    <mergeCell ref="E93:AM93"/>
    <mergeCell ref="BJ92:CB92"/>
    <mergeCell ref="AN88:BA88"/>
    <mergeCell ref="BB88:BI88"/>
    <mergeCell ref="AN92:BA92"/>
    <mergeCell ref="E91:AM91"/>
    <mergeCell ref="AN91:BA91"/>
    <mergeCell ref="BB91:BI91"/>
    <mergeCell ref="A104:D104"/>
    <mergeCell ref="A86:D86"/>
    <mergeCell ref="E86:AM86"/>
    <mergeCell ref="AN86:BA86"/>
    <mergeCell ref="BB86:BI86"/>
    <mergeCell ref="A89:D89"/>
    <mergeCell ref="A94:D94"/>
    <mergeCell ref="BB92:BI92"/>
    <mergeCell ref="A90:D90"/>
    <mergeCell ref="E90:AM90"/>
    <mergeCell ref="BC104:BM104"/>
    <mergeCell ref="A100:CB100"/>
    <mergeCell ref="A102:D102"/>
    <mergeCell ref="BJ94:CB94"/>
    <mergeCell ref="BC103:BM103"/>
    <mergeCell ref="BN103:CB103"/>
    <mergeCell ref="S97:CB97"/>
    <mergeCell ref="A103:D103"/>
    <mergeCell ref="E103:AR103"/>
    <mergeCell ref="AS103:BB103"/>
    <mergeCell ref="BC111:BM111"/>
    <mergeCell ref="BN111:CB111"/>
    <mergeCell ref="A61:D61"/>
    <mergeCell ref="E61:BC61"/>
    <mergeCell ref="BD61:BM61"/>
    <mergeCell ref="A111:D111"/>
    <mergeCell ref="E111:AR111"/>
    <mergeCell ref="AS111:BB111"/>
    <mergeCell ref="E94:AM94"/>
    <mergeCell ref="AN94:BA94"/>
    <mergeCell ref="E102:AR102"/>
    <mergeCell ref="BD60:BM60"/>
    <mergeCell ref="BN60:CB60"/>
    <mergeCell ref="AN87:BA87"/>
    <mergeCell ref="A60:D60"/>
    <mergeCell ref="E60:BC60"/>
    <mergeCell ref="BB94:BI94"/>
    <mergeCell ref="BJ89:CB89"/>
    <mergeCell ref="E89:AM89"/>
    <mergeCell ref="E88:AM88"/>
    <mergeCell ref="BJ22:CB22"/>
    <mergeCell ref="BB22:BI22"/>
    <mergeCell ref="E24:AM24"/>
    <mergeCell ref="AN24:BA24"/>
    <mergeCell ref="BB24:BI24"/>
    <mergeCell ref="A27:D27"/>
    <mergeCell ref="E27:AM27"/>
    <mergeCell ref="BB27:BI27"/>
    <mergeCell ref="BJ27:CB27"/>
    <mergeCell ref="BJ24:CB24"/>
    <mergeCell ref="BJ26:CB26"/>
    <mergeCell ref="E26:AM26"/>
    <mergeCell ref="A30:CB30"/>
    <mergeCell ref="S32:CB32"/>
    <mergeCell ref="A26:D26"/>
    <mergeCell ref="A28:D28"/>
    <mergeCell ref="BJ28:CB28"/>
    <mergeCell ref="BJ23:CB23"/>
    <mergeCell ref="BB29:BI29"/>
    <mergeCell ref="E29:AM29"/>
    <mergeCell ref="AN29:BA29"/>
    <mergeCell ref="A29:D29"/>
    <mergeCell ref="BJ21:CB21"/>
    <mergeCell ref="A22:D22"/>
    <mergeCell ref="E22:AM22"/>
    <mergeCell ref="AN22:BA22"/>
    <mergeCell ref="A21:D21"/>
    <mergeCell ref="AN38:BA38"/>
    <mergeCell ref="BB38:BI38"/>
    <mergeCell ref="AN90:BA90"/>
    <mergeCell ref="BJ90:CB90"/>
    <mergeCell ref="BJ86:CB86"/>
    <mergeCell ref="AN89:BA89"/>
    <mergeCell ref="BJ88:CB88"/>
    <mergeCell ref="BB90:BI90"/>
    <mergeCell ref="BJ42:CB42"/>
    <mergeCell ref="BJ40:CB40"/>
    <mergeCell ref="AS107:BB107"/>
    <mergeCell ref="BC107:BM107"/>
    <mergeCell ref="BN106:CB106"/>
    <mergeCell ref="BC106:BM106"/>
    <mergeCell ref="A105:D105"/>
    <mergeCell ref="E105:AR105"/>
    <mergeCell ref="AS105:BB105"/>
    <mergeCell ref="BC105:BM105"/>
    <mergeCell ref="BN107:CB107"/>
    <mergeCell ref="A107:D107"/>
    <mergeCell ref="BB23:BI23"/>
    <mergeCell ref="E36:AM36"/>
    <mergeCell ref="AN36:BA36"/>
    <mergeCell ref="BB36:BI36"/>
    <mergeCell ref="AN27:BA27"/>
    <mergeCell ref="BB26:BI26"/>
    <mergeCell ref="BB25:BI25"/>
    <mergeCell ref="BN108:CB108"/>
    <mergeCell ref="E28:AM28"/>
    <mergeCell ref="AN28:BA28"/>
    <mergeCell ref="BJ29:CB29"/>
    <mergeCell ref="BB28:BI28"/>
    <mergeCell ref="A15:CB15"/>
    <mergeCell ref="AN37:BA37"/>
    <mergeCell ref="BB37:BI37"/>
    <mergeCell ref="AH34:CB34"/>
    <mergeCell ref="A36:D36"/>
    <mergeCell ref="A24:D24"/>
    <mergeCell ref="A23:D23"/>
    <mergeCell ref="A25:D25"/>
    <mergeCell ref="AN26:BA26"/>
    <mergeCell ref="E21:AM21"/>
    <mergeCell ref="E25:AM25"/>
    <mergeCell ref="AN21:BA21"/>
    <mergeCell ref="E23:AM23"/>
    <mergeCell ref="AN23:BA23"/>
    <mergeCell ref="BB21:BI21"/>
    <mergeCell ref="A12:D12"/>
    <mergeCell ref="E12:AM12"/>
    <mergeCell ref="AN12:BA12"/>
    <mergeCell ref="BN12:CB12"/>
    <mergeCell ref="BB12:BM12"/>
    <mergeCell ref="A13:D13"/>
    <mergeCell ref="E13:AM13"/>
    <mergeCell ref="BB13:BM13"/>
    <mergeCell ref="A11:D11"/>
    <mergeCell ref="E11:AM11"/>
    <mergeCell ref="AN11:BA11"/>
    <mergeCell ref="BN11:CB11"/>
    <mergeCell ref="BB11:BM11"/>
    <mergeCell ref="BB9:BM9"/>
    <mergeCell ref="BB10:BM10"/>
    <mergeCell ref="A10:D10"/>
    <mergeCell ref="A1:CB1"/>
    <mergeCell ref="A7:D7"/>
    <mergeCell ref="E7:AM7"/>
    <mergeCell ref="AN7:BA7"/>
    <mergeCell ref="BN7:CB7"/>
    <mergeCell ref="S3:CB3"/>
    <mergeCell ref="AH5:CB5"/>
    <mergeCell ref="BB7:BM7"/>
    <mergeCell ref="BJ25:CB25"/>
    <mergeCell ref="A8:D8"/>
    <mergeCell ref="E10:AM10"/>
    <mergeCell ref="AN10:BA10"/>
    <mergeCell ref="BN10:CB10"/>
    <mergeCell ref="E8:AM8"/>
    <mergeCell ref="AN8:BA8"/>
    <mergeCell ref="BN8:CB8"/>
    <mergeCell ref="BB8:BM8"/>
    <mergeCell ref="A9:D9"/>
    <mergeCell ref="E37:AM37"/>
    <mergeCell ref="BJ39:CB39"/>
    <mergeCell ref="E9:AM9"/>
    <mergeCell ref="AN9:BA9"/>
    <mergeCell ref="BN9:CB9"/>
    <mergeCell ref="BN13:CB13"/>
    <mergeCell ref="AN25:BA25"/>
    <mergeCell ref="AH19:CB19"/>
    <mergeCell ref="S17:CB17"/>
    <mergeCell ref="AN13:BA13"/>
    <mergeCell ref="A39:D39"/>
    <mergeCell ref="E39:AM39"/>
    <mergeCell ref="BJ36:CB36"/>
    <mergeCell ref="AN39:BA39"/>
    <mergeCell ref="BB39:BI39"/>
    <mergeCell ref="BJ37:CB37"/>
    <mergeCell ref="A38:D38"/>
    <mergeCell ref="E38:AM38"/>
    <mergeCell ref="BJ38:CB38"/>
    <mergeCell ref="A37:D37"/>
    <mergeCell ref="E41:AM41"/>
    <mergeCell ref="AN41:BA41"/>
    <mergeCell ref="BB41:BI41"/>
    <mergeCell ref="A40:D40"/>
    <mergeCell ref="E40:AM40"/>
    <mergeCell ref="AN40:BA40"/>
    <mergeCell ref="BB40:BI40"/>
    <mergeCell ref="E44:AM44"/>
    <mergeCell ref="AN44:BA44"/>
    <mergeCell ref="BB44:BI44"/>
    <mergeCell ref="BJ44:CB44"/>
    <mergeCell ref="BJ41:CB41"/>
    <mergeCell ref="A42:D42"/>
    <mergeCell ref="E42:AM42"/>
    <mergeCell ref="AN42:BA42"/>
    <mergeCell ref="BB42:BI42"/>
    <mergeCell ref="A41:D41"/>
    <mergeCell ref="BN61:CB61"/>
    <mergeCell ref="E71:AM71"/>
    <mergeCell ref="BB71:BI71"/>
    <mergeCell ref="BJ71:CB71"/>
    <mergeCell ref="S67:CB67"/>
    <mergeCell ref="AH69:CB69"/>
    <mergeCell ref="BN63:CB63"/>
    <mergeCell ref="E63:BC63"/>
    <mergeCell ref="BD63:BM63"/>
    <mergeCell ref="E62:H62"/>
    <mergeCell ref="A71:D71"/>
    <mergeCell ref="BD62:BM62"/>
    <mergeCell ref="BN62:CB62"/>
    <mergeCell ref="BD55:BM55"/>
    <mergeCell ref="BN55:CB55"/>
    <mergeCell ref="A56:D56"/>
    <mergeCell ref="E56:BC56"/>
    <mergeCell ref="BD56:BM56"/>
    <mergeCell ref="BN56:CB56"/>
    <mergeCell ref="A63:D63"/>
    <mergeCell ref="AN72:BA72"/>
    <mergeCell ref="BB72:BI72"/>
    <mergeCell ref="BJ72:CB72"/>
    <mergeCell ref="AS102:BB102"/>
    <mergeCell ref="BC102:BM102"/>
    <mergeCell ref="BN102:CB102"/>
    <mergeCell ref="BB87:BI87"/>
    <mergeCell ref="BJ87:CB87"/>
    <mergeCell ref="AH84:CB84"/>
    <mergeCell ref="BB78:BI78"/>
    <mergeCell ref="A109:D109"/>
    <mergeCell ref="E109:AR109"/>
    <mergeCell ref="AS109:BB109"/>
    <mergeCell ref="BC109:BM109"/>
    <mergeCell ref="A106:D106"/>
    <mergeCell ref="E106:AR106"/>
    <mergeCell ref="E107:AR107"/>
    <mergeCell ref="AS108:BB108"/>
    <mergeCell ref="BC108:BM108"/>
    <mergeCell ref="A108:D108"/>
    <mergeCell ref="A110:D110"/>
    <mergeCell ref="E110:AR110"/>
    <mergeCell ref="AS110:BB110"/>
    <mergeCell ref="BN54:CB54"/>
    <mergeCell ref="BJ74:CB74"/>
    <mergeCell ref="A65:CB65"/>
    <mergeCell ref="AN71:BA71"/>
    <mergeCell ref="A62:D62"/>
    <mergeCell ref="BC110:BM110"/>
    <mergeCell ref="A72:D72"/>
    <mergeCell ref="A95:CB95"/>
    <mergeCell ref="AS106:BB106"/>
    <mergeCell ref="AS104:BB104"/>
    <mergeCell ref="E104:AR104"/>
    <mergeCell ref="A80:CB80"/>
    <mergeCell ref="S82:CB82"/>
    <mergeCell ref="BN105:CB105"/>
    <mergeCell ref="A87:D87"/>
    <mergeCell ref="E87:AM87"/>
    <mergeCell ref="BN104:CB104"/>
    <mergeCell ref="E108:AR108"/>
    <mergeCell ref="BN110:CB110"/>
    <mergeCell ref="BN109:CB109"/>
    <mergeCell ref="BJ78:CB78"/>
    <mergeCell ref="E72:AM72"/>
    <mergeCell ref="A78:D78"/>
    <mergeCell ref="E78:AM78"/>
    <mergeCell ref="AN78:BA78"/>
    <mergeCell ref="A73:D73"/>
    <mergeCell ref="E73:AM73"/>
    <mergeCell ref="AN73:BA73"/>
    <mergeCell ref="BB73:BI73"/>
    <mergeCell ref="BJ73:CB73"/>
    <mergeCell ref="A74:D74"/>
    <mergeCell ref="E74:AM74"/>
    <mergeCell ref="AN74:BA74"/>
    <mergeCell ref="BB74:BI74"/>
    <mergeCell ref="A75:D75"/>
    <mergeCell ref="E75:AM75"/>
    <mergeCell ref="AN75:BA75"/>
    <mergeCell ref="BB75:BI75"/>
    <mergeCell ref="BJ75:CB75"/>
    <mergeCell ref="BJ76:CB76"/>
    <mergeCell ref="A76:D76"/>
    <mergeCell ref="E76:AM76"/>
    <mergeCell ref="BB76:BI76"/>
    <mergeCell ref="AN76:BA76"/>
    <mergeCell ref="A77:D77"/>
    <mergeCell ref="E77:AM77"/>
    <mergeCell ref="AN77:BA77"/>
    <mergeCell ref="BB77:BI77"/>
    <mergeCell ref="BJ77:CB77"/>
    <mergeCell ref="A79:D79"/>
    <mergeCell ref="E79:AM79"/>
    <mergeCell ref="AN79:BA79"/>
    <mergeCell ref="BB79:BI79"/>
    <mergeCell ref="BJ79:CB79"/>
    <mergeCell ref="BN57:CB57"/>
    <mergeCell ref="A58:D58"/>
    <mergeCell ref="E58:BC58"/>
    <mergeCell ref="BD58:BM58"/>
    <mergeCell ref="BN58:CB58"/>
    <mergeCell ref="A59:D59"/>
    <mergeCell ref="E59:BC59"/>
    <mergeCell ref="BD59:BM59"/>
    <mergeCell ref="BN59:CB59"/>
    <mergeCell ref="A54:D54"/>
    <mergeCell ref="E54:BC54"/>
    <mergeCell ref="BD54:BM54"/>
    <mergeCell ref="A57:D57"/>
    <mergeCell ref="E57:BC57"/>
    <mergeCell ref="BD57:BM57"/>
    <mergeCell ref="E55:BC55"/>
    <mergeCell ref="A55:D55"/>
    <mergeCell ref="A43:D43"/>
    <mergeCell ref="E43:AM43"/>
    <mergeCell ref="AN43:BA43"/>
    <mergeCell ref="BB43:BI43"/>
    <mergeCell ref="BJ43:CB43"/>
    <mergeCell ref="A52:CB52"/>
    <mergeCell ref="AH50:CB50"/>
    <mergeCell ref="S48:CB48"/>
    <mergeCell ref="A46:CB46"/>
    <mergeCell ref="A44:D4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9" max="7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H154"/>
  <sheetViews>
    <sheetView view="pageBreakPreview" zoomScaleSheetLayoutView="100" zoomScalePageLayoutView="0" workbookViewId="0" topLeftCell="A91">
      <selection activeCell="CD64" sqref="CD64"/>
    </sheetView>
  </sheetViews>
  <sheetFormatPr defaultColWidth="1.12109375" defaultRowHeight="12.75"/>
  <cols>
    <col min="1" max="1" width="2.25390625" style="7" customWidth="1"/>
    <col min="2" max="34" width="1.12109375" style="7" customWidth="1"/>
    <col min="35" max="35" width="0.12890625" style="7" customWidth="1"/>
    <col min="36" max="38" width="1.12109375" style="7" customWidth="1"/>
    <col min="39" max="39" width="7.25390625" style="7" customWidth="1"/>
    <col min="40" max="79" width="1.12109375" style="7" customWidth="1"/>
    <col min="80" max="80" width="2.25390625" style="7" customWidth="1"/>
    <col min="81" max="81" width="18.875" style="59" customWidth="1"/>
    <col min="82" max="82" width="19.125" style="59" customWidth="1"/>
    <col min="83" max="83" width="24.375" style="59" customWidth="1"/>
    <col min="84" max="84" width="25.25390625" style="7" customWidth="1"/>
    <col min="85" max="149" width="19.625" style="7" customWidth="1"/>
    <col min="150" max="16384" width="1.12109375" style="7" customWidth="1"/>
  </cols>
  <sheetData>
    <row r="1" spans="1:85" s="3" customFormat="1" ht="15.75">
      <c r="A1" s="363" t="s">
        <v>79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3"/>
      <c r="BC1" s="363"/>
      <c r="BD1" s="363"/>
      <c r="BE1" s="363"/>
      <c r="BF1" s="363"/>
      <c r="BG1" s="363"/>
      <c r="BH1" s="363"/>
      <c r="BI1" s="363"/>
      <c r="BJ1" s="363"/>
      <c r="BK1" s="363"/>
      <c r="BL1" s="363"/>
      <c r="BM1" s="363"/>
      <c r="BN1" s="363"/>
      <c r="BO1" s="363"/>
      <c r="BP1" s="363"/>
      <c r="BQ1" s="363"/>
      <c r="BR1" s="363"/>
      <c r="BS1" s="363"/>
      <c r="BT1" s="363"/>
      <c r="BU1" s="363"/>
      <c r="BV1" s="363"/>
      <c r="BW1" s="363"/>
      <c r="BX1" s="363"/>
      <c r="BY1" s="363"/>
      <c r="BZ1" s="363"/>
      <c r="CA1" s="363"/>
      <c r="CB1" s="363"/>
      <c r="CC1" s="240"/>
      <c r="CD1" s="240"/>
      <c r="CE1" s="240"/>
      <c r="CF1" s="245"/>
      <c r="CG1" s="241"/>
    </row>
    <row r="2" spans="1:85" s="6" customFormat="1" ht="9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243"/>
      <c r="CD2" s="243"/>
      <c r="CE2" s="243"/>
      <c r="CF2" s="244"/>
      <c r="CG2" s="244"/>
    </row>
    <row r="3" spans="1:85" s="3" customFormat="1" ht="15.7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62" t="s">
        <v>143</v>
      </c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 s="562"/>
      <c r="CB3" s="562"/>
      <c r="CC3" s="240"/>
      <c r="CD3" s="240"/>
      <c r="CE3" s="240"/>
      <c r="CF3" s="241"/>
      <c r="CG3" s="241"/>
    </row>
    <row r="4" spans="1:85" s="6" customFormat="1" ht="9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43"/>
      <c r="CD4" s="243"/>
      <c r="CE4" s="243"/>
      <c r="CF4" s="244"/>
      <c r="CG4" s="244"/>
    </row>
    <row r="5" spans="1:85" s="3" customFormat="1" ht="29.25" customHeight="1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563" t="s">
        <v>134</v>
      </c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  <c r="BD5" s="563"/>
      <c r="BE5" s="563"/>
      <c r="BF5" s="563"/>
      <c r="BG5" s="563"/>
      <c r="BH5" s="563"/>
      <c r="BI5" s="563"/>
      <c r="BJ5" s="563"/>
      <c r="BK5" s="563"/>
      <c r="BL5" s="563"/>
      <c r="BM5" s="563"/>
      <c r="BN5" s="563"/>
      <c r="BO5" s="563"/>
      <c r="BP5" s="563"/>
      <c r="BQ5" s="563"/>
      <c r="BR5" s="563"/>
      <c r="BS5" s="563"/>
      <c r="BT5" s="563"/>
      <c r="BU5" s="563"/>
      <c r="BV5" s="563"/>
      <c r="BW5" s="563"/>
      <c r="BX5" s="563"/>
      <c r="BY5" s="563"/>
      <c r="BZ5" s="563"/>
      <c r="CA5" s="563"/>
      <c r="CB5" s="563"/>
      <c r="CC5" s="240"/>
      <c r="CD5" s="240"/>
      <c r="CE5" s="240"/>
      <c r="CF5" s="241"/>
      <c r="CG5" s="241"/>
    </row>
    <row r="6" spans="2:85" s="3" customFormat="1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240"/>
      <c r="CD6" s="240"/>
      <c r="CE6" s="240"/>
      <c r="CF6" s="241"/>
      <c r="CG6" s="241"/>
    </row>
    <row r="7" spans="1:85" s="3" customFormat="1" ht="15.75">
      <c r="A7" s="363" t="s">
        <v>399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240"/>
      <c r="CD7" s="240"/>
      <c r="CE7" s="240"/>
      <c r="CF7" s="241"/>
      <c r="CG7" s="241"/>
    </row>
    <row r="8" spans="81:85" ht="12.75">
      <c r="CC8" s="236"/>
      <c r="CD8" s="236"/>
      <c r="CE8" s="236"/>
      <c r="CF8" s="235"/>
      <c r="CG8" s="235"/>
    </row>
    <row r="9" spans="1:85" ht="12.75">
      <c r="A9" s="364" t="s">
        <v>5</v>
      </c>
      <c r="B9" s="365"/>
      <c r="C9" s="365"/>
      <c r="D9" s="368"/>
      <c r="E9" s="364" t="s">
        <v>13</v>
      </c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8"/>
      <c r="AJ9" s="364" t="s">
        <v>18</v>
      </c>
      <c r="AK9" s="365"/>
      <c r="AL9" s="365"/>
      <c r="AM9" s="365"/>
      <c r="AN9" s="365"/>
      <c r="AO9" s="365"/>
      <c r="AP9" s="365"/>
      <c r="AQ9" s="365"/>
      <c r="AR9" s="365"/>
      <c r="AS9" s="365"/>
      <c r="AT9" s="368"/>
      <c r="AU9" s="364" t="s">
        <v>18</v>
      </c>
      <c r="AV9" s="365"/>
      <c r="AW9" s="365"/>
      <c r="AX9" s="365"/>
      <c r="AY9" s="365"/>
      <c r="AZ9" s="365"/>
      <c r="BA9" s="365"/>
      <c r="BB9" s="365"/>
      <c r="BC9" s="365"/>
      <c r="BD9" s="368"/>
      <c r="BE9" s="364" t="s">
        <v>83</v>
      </c>
      <c r="BF9" s="365"/>
      <c r="BG9" s="365"/>
      <c r="BH9" s="365"/>
      <c r="BI9" s="365"/>
      <c r="BJ9" s="365"/>
      <c r="BK9" s="365"/>
      <c r="BL9" s="365"/>
      <c r="BM9" s="365"/>
      <c r="BN9" s="365"/>
      <c r="BO9" s="368"/>
      <c r="BP9" s="364" t="s">
        <v>22</v>
      </c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236"/>
      <c r="CD9" s="236"/>
      <c r="CE9" s="236"/>
      <c r="CF9" s="235"/>
      <c r="CG9" s="235"/>
    </row>
    <row r="10" spans="1:85" ht="12.75">
      <c r="A10" s="366" t="s">
        <v>6</v>
      </c>
      <c r="B10" s="367"/>
      <c r="C10" s="367"/>
      <c r="D10" s="369"/>
      <c r="E10" s="366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9"/>
      <c r="AJ10" s="366" t="s">
        <v>80</v>
      </c>
      <c r="AK10" s="367"/>
      <c r="AL10" s="367"/>
      <c r="AM10" s="367"/>
      <c r="AN10" s="367"/>
      <c r="AO10" s="367"/>
      <c r="AP10" s="367"/>
      <c r="AQ10" s="367"/>
      <c r="AR10" s="367"/>
      <c r="AS10" s="367"/>
      <c r="AT10" s="369"/>
      <c r="AU10" s="366" t="s">
        <v>82</v>
      </c>
      <c r="AV10" s="367"/>
      <c r="AW10" s="367"/>
      <c r="AX10" s="367"/>
      <c r="AY10" s="367"/>
      <c r="AZ10" s="367"/>
      <c r="BA10" s="367"/>
      <c r="BB10" s="367"/>
      <c r="BC10" s="367"/>
      <c r="BD10" s="369"/>
      <c r="BE10" s="366" t="s">
        <v>84</v>
      </c>
      <c r="BF10" s="367"/>
      <c r="BG10" s="367"/>
      <c r="BH10" s="367"/>
      <c r="BI10" s="367"/>
      <c r="BJ10" s="367"/>
      <c r="BK10" s="367"/>
      <c r="BL10" s="367"/>
      <c r="BM10" s="367"/>
      <c r="BN10" s="367"/>
      <c r="BO10" s="369"/>
      <c r="BP10" s="366" t="s">
        <v>88</v>
      </c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236"/>
      <c r="CD10" s="236"/>
      <c r="CE10" s="236"/>
      <c r="CF10" s="235"/>
      <c r="CG10" s="235"/>
    </row>
    <row r="11" spans="1:85" ht="12.75">
      <c r="A11" s="366"/>
      <c r="B11" s="367"/>
      <c r="C11" s="367"/>
      <c r="D11" s="369"/>
      <c r="E11" s="366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9"/>
      <c r="AJ11" s="366"/>
      <c r="AK11" s="367"/>
      <c r="AL11" s="367"/>
      <c r="AM11" s="367"/>
      <c r="AN11" s="367"/>
      <c r="AO11" s="367"/>
      <c r="AP11" s="367"/>
      <c r="AQ11" s="367"/>
      <c r="AR11" s="367"/>
      <c r="AS11" s="367"/>
      <c r="AT11" s="369"/>
      <c r="AU11" s="366" t="s">
        <v>81</v>
      </c>
      <c r="AV11" s="367"/>
      <c r="AW11" s="367"/>
      <c r="AX11" s="367"/>
      <c r="AY11" s="367"/>
      <c r="AZ11" s="367"/>
      <c r="BA11" s="367"/>
      <c r="BB11" s="367"/>
      <c r="BC11" s="367"/>
      <c r="BD11" s="369"/>
      <c r="BE11" s="366" t="s">
        <v>17</v>
      </c>
      <c r="BF11" s="367"/>
      <c r="BG11" s="367"/>
      <c r="BH11" s="367"/>
      <c r="BI11" s="367"/>
      <c r="BJ11" s="367"/>
      <c r="BK11" s="367"/>
      <c r="BL11" s="367"/>
      <c r="BM11" s="367"/>
      <c r="BN11" s="367"/>
      <c r="BO11" s="369"/>
      <c r="BP11" s="366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236"/>
      <c r="CD11" s="236"/>
      <c r="CE11" s="236"/>
      <c r="CF11" s="235"/>
      <c r="CG11" s="235"/>
    </row>
    <row r="12" spans="1:84" ht="15.75">
      <c r="A12" s="339">
        <v>1</v>
      </c>
      <c r="B12" s="340"/>
      <c r="C12" s="340"/>
      <c r="D12" s="341"/>
      <c r="E12" s="339">
        <v>2</v>
      </c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1"/>
      <c r="AJ12" s="339">
        <v>3</v>
      </c>
      <c r="AK12" s="340"/>
      <c r="AL12" s="340"/>
      <c r="AM12" s="340"/>
      <c r="AN12" s="340"/>
      <c r="AO12" s="340"/>
      <c r="AP12" s="340"/>
      <c r="AQ12" s="340"/>
      <c r="AR12" s="340"/>
      <c r="AS12" s="340"/>
      <c r="AT12" s="341"/>
      <c r="AU12" s="339">
        <v>4</v>
      </c>
      <c r="AV12" s="340"/>
      <c r="AW12" s="340"/>
      <c r="AX12" s="340"/>
      <c r="AY12" s="340"/>
      <c r="AZ12" s="340"/>
      <c r="BA12" s="340"/>
      <c r="BB12" s="340"/>
      <c r="BC12" s="340"/>
      <c r="BD12" s="341"/>
      <c r="BE12" s="339">
        <v>5</v>
      </c>
      <c r="BF12" s="340"/>
      <c r="BG12" s="340"/>
      <c r="BH12" s="340"/>
      <c r="BI12" s="340"/>
      <c r="BJ12" s="340"/>
      <c r="BK12" s="340"/>
      <c r="BL12" s="340"/>
      <c r="BM12" s="340"/>
      <c r="BN12" s="340"/>
      <c r="BO12" s="341"/>
      <c r="BP12" s="339">
        <v>6</v>
      </c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1"/>
      <c r="CC12" s="57" t="s">
        <v>153</v>
      </c>
      <c r="CD12" s="57" t="s">
        <v>211</v>
      </c>
      <c r="CE12" s="57" t="s">
        <v>413</v>
      </c>
      <c r="CF12" s="231" t="s">
        <v>390</v>
      </c>
    </row>
    <row r="13" spans="1:84" ht="24.75" customHeight="1">
      <c r="A13" s="393">
        <v>1</v>
      </c>
      <c r="B13" s="394"/>
      <c r="C13" s="394"/>
      <c r="D13" s="395"/>
      <c r="E13" s="564" t="s">
        <v>118</v>
      </c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  <c r="AA13" s="565"/>
      <c r="AB13" s="565"/>
      <c r="AC13" s="565"/>
      <c r="AD13" s="565"/>
      <c r="AE13" s="565"/>
      <c r="AF13" s="565"/>
      <c r="AG13" s="565"/>
      <c r="AH13" s="565"/>
      <c r="AI13" s="566"/>
      <c r="AJ13" s="347"/>
      <c r="AK13" s="348"/>
      <c r="AL13" s="348"/>
      <c r="AM13" s="348"/>
      <c r="AN13" s="348"/>
      <c r="AO13" s="348"/>
      <c r="AP13" s="348"/>
      <c r="AQ13" s="348"/>
      <c r="AR13" s="348"/>
      <c r="AS13" s="348"/>
      <c r="AT13" s="349"/>
      <c r="AU13" s="347">
        <v>12</v>
      </c>
      <c r="AV13" s="348"/>
      <c r="AW13" s="348"/>
      <c r="AX13" s="348"/>
      <c r="AY13" s="348"/>
      <c r="AZ13" s="348"/>
      <c r="BA13" s="348"/>
      <c r="BB13" s="348"/>
      <c r="BC13" s="348"/>
      <c r="BD13" s="349"/>
      <c r="BE13" s="347"/>
      <c r="BF13" s="348"/>
      <c r="BG13" s="348"/>
      <c r="BH13" s="348"/>
      <c r="BI13" s="348"/>
      <c r="BJ13" s="348"/>
      <c r="BK13" s="348"/>
      <c r="BL13" s="348"/>
      <c r="BM13" s="348"/>
      <c r="BN13" s="348"/>
      <c r="BO13" s="349"/>
      <c r="BP13" s="357">
        <v>11000</v>
      </c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9"/>
      <c r="CC13" s="59">
        <v>11000</v>
      </c>
      <c r="CD13" s="59">
        <f>348+348+348+348+348+348+348</f>
        <v>2436</v>
      </c>
      <c r="CE13" s="59">
        <f>CC13-CD13</f>
        <v>8564</v>
      </c>
      <c r="CF13" s="183">
        <f>BP13-CC13</f>
        <v>0</v>
      </c>
    </row>
    <row r="14" spans="1:84" ht="24.75" customHeight="1">
      <c r="A14" s="393">
        <v>2</v>
      </c>
      <c r="B14" s="394"/>
      <c r="C14" s="394"/>
      <c r="D14" s="395"/>
      <c r="E14" s="342" t="s">
        <v>119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4"/>
      <c r="AJ14" s="347"/>
      <c r="AK14" s="348"/>
      <c r="AL14" s="348"/>
      <c r="AM14" s="348"/>
      <c r="AN14" s="348"/>
      <c r="AO14" s="348"/>
      <c r="AP14" s="348"/>
      <c r="AQ14" s="348"/>
      <c r="AR14" s="348"/>
      <c r="AS14" s="348"/>
      <c r="AT14" s="349"/>
      <c r="AU14" s="347">
        <v>12</v>
      </c>
      <c r="AV14" s="348"/>
      <c r="AW14" s="348"/>
      <c r="AX14" s="348"/>
      <c r="AY14" s="348"/>
      <c r="AZ14" s="348"/>
      <c r="BA14" s="348"/>
      <c r="BB14" s="348"/>
      <c r="BC14" s="348"/>
      <c r="BD14" s="349"/>
      <c r="BE14" s="347"/>
      <c r="BF14" s="348"/>
      <c r="BG14" s="348"/>
      <c r="BH14" s="348"/>
      <c r="BI14" s="348"/>
      <c r="BJ14" s="348"/>
      <c r="BK14" s="348"/>
      <c r="BL14" s="348"/>
      <c r="BM14" s="348"/>
      <c r="BN14" s="348"/>
      <c r="BO14" s="349"/>
      <c r="BP14" s="357">
        <v>7626.4</v>
      </c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9"/>
      <c r="CC14" s="59">
        <v>2760</v>
      </c>
      <c r="CD14" s="59">
        <f>1380</f>
        <v>1380</v>
      </c>
      <c r="CE14" s="59">
        <f>CC14-CD14</f>
        <v>1380</v>
      </c>
      <c r="CF14" s="183">
        <f>BP14-CC14</f>
        <v>4866.4</v>
      </c>
    </row>
    <row r="15" spans="1:84" s="155" customFormat="1" ht="12.75">
      <c r="A15" s="443"/>
      <c r="B15" s="444"/>
      <c r="C15" s="444"/>
      <c r="D15" s="445"/>
      <c r="E15" s="432" t="s">
        <v>10</v>
      </c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4"/>
      <c r="AJ15" s="360" t="s">
        <v>11</v>
      </c>
      <c r="AK15" s="361"/>
      <c r="AL15" s="361"/>
      <c r="AM15" s="361"/>
      <c r="AN15" s="361"/>
      <c r="AO15" s="361"/>
      <c r="AP15" s="361"/>
      <c r="AQ15" s="361"/>
      <c r="AR15" s="361"/>
      <c r="AS15" s="361"/>
      <c r="AT15" s="362"/>
      <c r="AU15" s="360" t="s">
        <v>11</v>
      </c>
      <c r="AV15" s="361"/>
      <c r="AW15" s="361"/>
      <c r="AX15" s="361"/>
      <c r="AY15" s="361"/>
      <c r="AZ15" s="361"/>
      <c r="BA15" s="361"/>
      <c r="BB15" s="361"/>
      <c r="BC15" s="361"/>
      <c r="BD15" s="362"/>
      <c r="BE15" s="360" t="s">
        <v>11</v>
      </c>
      <c r="BF15" s="361"/>
      <c r="BG15" s="361"/>
      <c r="BH15" s="361"/>
      <c r="BI15" s="361"/>
      <c r="BJ15" s="361"/>
      <c r="BK15" s="361"/>
      <c r="BL15" s="361"/>
      <c r="BM15" s="361"/>
      <c r="BN15" s="361"/>
      <c r="BO15" s="362"/>
      <c r="BP15" s="372">
        <f>BP13+BP14</f>
        <v>18626.4</v>
      </c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80"/>
      <c r="CC15" s="153"/>
      <c r="CD15" s="153"/>
      <c r="CE15" s="153"/>
      <c r="CF15" s="183"/>
    </row>
    <row r="16" spans="68:85" s="1" customFormat="1" ht="15.75"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238"/>
      <c r="CD16" s="238"/>
      <c r="CE16" s="238"/>
      <c r="CF16" s="237"/>
      <c r="CG16" s="239"/>
    </row>
    <row r="17" spans="1:85" s="3" customFormat="1" ht="15.75" hidden="1">
      <c r="A17" s="363" t="s">
        <v>89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240"/>
      <c r="CD17" s="240"/>
      <c r="CE17" s="240"/>
      <c r="CF17" s="237"/>
      <c r="CG17" s="241"/>
    </row>
    <row r="18" spans="81:85" ht="12.75" hidden="1">
      <c r="CC18" s="236"/>
      <c r="CD18" s="236"/>
      <c r="CE18" s="236"/>
      <c r="CF18" s="237"/>
      <c r="CG18" s="235"/>
    </row>
    <row r="19" spans="1:85" ht="12.75" hidden="1">
      <c r="A19" s="364" t="s">
        <v>5</v>
      </c>
      <c r="B19" s="365"/>
      <c r="C19" s="365"/>
      <c r="D19" s="368"/>
      <c r="E19" s="364" t="s">
        <v>13</v>
      </c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8"/>
      <c r="AN19" s="364" t="s">
        <v>18</v>
      </c>
      <c r="AO19" s="365"/>
      <c r="AP19" s="365"/>
      <c r="AQ19" s="365"/>
      <c r="AR19" s="365"/>
      <c r="AS19" s="365"/>
      <c r="AT19" s="365"/>
      <c r="AU19" s="365"/>
      <c r="AV19" s="368"/>
      <c r="AW19" s="364" t="s">
        <v>87</v>
      </c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8"/>
      <c r="BJ19" s="364" t="s">
        <v>22</v>
      </c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236"/>
      <c r="CD19" s="236"/>
      <c r="CE19" s="236"/>
      <c r="CF19" s="237"/>
      <c r="CG19" s="235"/>
    </row>
    <row r="20" spans="1:85" ht="12.75" hidden="1">
      <c r="A20" s="366" t="s">
        <v>6</v>
      </c>
      <c r="B20" s="367"/>
      <c r="C20" s="367"/>
      <c r="D20" s="369"/>
      <c r="E20" s="366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9"/>
      <c r="AN20" s="366" t="s">
        <v>85</v>
      </c>
      <c r="AO20" s="367"/>
      <c r="AP20" s="367"/>
      <c r="AQ20" s="367"/>
      <c r="AR20" s="367"/>
      <c r="AS20" s="367"/>
      <c r="AT20" s="367"/>
      <c r="AU20" s="367"/>
      <c r="AV20" s="369"/>
      <c r="AW20" s="366" t="s">
        <v>114</v>
      </c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9"/>
      <c r="BJ20" s="366" t="s">
        <v>77</v>
      </c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236"/>
      <c r="CD20" s="236"/>
      <c r="CE20" s="236"/>
      <c r="CF20" s="237"/>
      <c r="CG20" s="235"/>
    </row>
    <row r="21" spans="1:85" ht="12.75" hidden="1">
      <c r="A21" s="366"/>
      <c r="B21" s="367"/>
      <c r="C21" s="367"/>
      <c r="D21" s="369"/>
      <c r="E21" s="366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9"/>
      <c r="AN21" s="366" t="s">
        <v>86</v>
      </c>
      <c r="AO21" s="367"/>
      <c r="AP21" s="367"/>
      <c r="AQ21" s="367"/>
      <c r="AR21" s="367"/>
      <c r="AS21" s="367"/>
      <c r="AT21" s="367"/>
      <c r="AU21" s="367"/>
      <c r="AV21" s="369"/>
      <c r="AW21" s="366" t="s">
        <v>17</v>
      </c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9"/>
      <c r="BJ21" s="366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  <c r="BX21" s="367"/>
      <c r="BY21" s="367"/>
      <c r="BZ21" s="367"/>
      <c r="CA21" s="367"/>
      <c r="CB21" s="367"/>
      <c r="CC21" s="236"/>
      <c r="CD21" s="236"/>
      <c r="CE21" s="236"/>
      <c r="CF21" s="237"/>
      <c r="CG21" s="235"/>
    </row>
    <row r="22" spans="1:85" ht="12.75" hidden="1">
      <c r="A22" s="366"/>
      <c r="B22" s="367"/>
      <c r="C22" s="367"/>
      <c r="D22" s="369"/>
      <c r="E22" s="366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9"/>
      <c r="AN22" s="366"/>
      <c r="AO22" s="367"/>
      <c r="AP22" s="367"/>
      <c r="AQ22" s="367"/>
      <c r="AR22" s="367"/>
      <c r="AS22" s="367"/>
      <c r="AT22" s="367"/>
      <c r="AU22" s="367"/>
      <c r="AV22" s="369"/>
      <c r="AW22" s="366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9"/>
      <c r="BJ22" s="366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236"/>
      <c r="CD22" s="236"/>
      <c r="CE22" s="236"/>
      <c r="CF22" s="237"/>
      <c r="CG22" s="235"/>
    </row>
    <row r="23" spans="1:85" ht="12.75" hidden="1">
      <c r="A23" s="396">
        <v>1</v>
      </c>
      <c r="B23" s="397"/>
      <c r="C23" s="397"/>
      <c r="D23" s="398"/>
      <c r="E23" s="396">
        <v>2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8"/>
      <c r="AN23" s="396">
        <v>3</v>
      </c>
      <c r="AO23" s="397"/>
      <c r="AP23" s="397"/>
      <c r="AQ23" s="397"/>
      <c r="AR23" s="397"/>
      <c r="AS23" s="397"/>
      <c r="AT23" s="397"/>
      <c r="AU23" s="397"/>
      <c r="AV23" s="398"/>
      <c r="AW23" s="396">
        <v>4</v>
      </c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8"/>
      <c r="BJ23" s="396">
        <v>5</v>
      </c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236"/>
      <c r="CD23" s="236"/>
      <c r="CE23" s="236"/>
      <c r="CF23" s="237"/>
      <c r="CG23" s="235"/>
    </row>
    <row r="24" spans="1:85" ht="12.75" hidden="1">
      <c r="A24" s="342"/>
      <c r="B24" s="343"/>
      <c r="C24" s="343"/>
      <c r="D24" s="344"/>
      <c r="E24" s="342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4"/>
      <c r="AN24" s="413"/>
      <c r="AO24" s="414"/>
      <c r="AP24" s="414"/>
      <c r="AQ24" s="414"/>
      <c r="AR24" s="414"/>
      <c r="AS24" s="414"/>
      <c r="AT24" s="414"/>
      <c r="AU24" s="414"/>
      <c r="AV24" s="415"/>
      <c r="AW24" s="347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9"/>
      <c r="BJ24" s="347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236"/>
      <c r="CD24" s="236"/>
      <c r="CE24" s="236"/>
      <c r="CF24" s="237"/>
      <c r="CG24" s="235"/>
    </row>
    <row r="25" spans="1:85" ht="12.75" hidden="1">
      <c r="A25" s="342"/>
      <c r="B25" s="343"/>
      <c r="C25" s="343"/>
      <c r="D25" s="344"/>
      <c r="E25" s="342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4"/>
      <c r="AN25" s="413"/>
      <c r="AO25" s="414"/>
      <c r="AP25" s="414"/>
      <c r="AQ25" s="414"/>
      <c r="AR25" s="414"/>
      <c r="AS25" s="414"/>
      <c r="AT25" s="414"/>
      <c r="AU25" s="414"/>
      <c r="AV25" s="415"/>
      <c r="AW25" s="347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9"/>
      <c r="BJ25" s="347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48"/>
      <c r="BW25" s="348"/>
      <c r="BX25" s="348"/>
      <c r="BY25" s="348"/>
      <c r="BZ25" s="348"/>
      <c r="CA25" s="348"/>
      <c r="CB25" s="348"/>
      <c r="CC25" s="236"/>
      <c r="CD25" s="236"/>
      <c r="CE25" s="236"/>
      <c r="CF25" s="237"/>
      <c r="CG25" s="235"/>
    </row>
    <row r="26" spans="1:85" ht="12.75" hidden="1">
      <c r="A26" s="342"/>
      <c r="B26" s="343"/>
      <c r="C26" s="343"/>
      <c r="D26" s="344"/>
      <c r="E26" s="413" t="s">
        <v>10</v>
      </c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5"/>
      <c r="AN26" s="413"/>
      <c r="AO26" s="414"/>
      <c r="AP26" s="414"/>
      <c r="AQ26" s="414"/>
      <c r="AR26" s="414"/>
      <c r="AS26" s="414"/>
      <c r="AT26" s="414"/>
      <c r="AU26" s="414"/>
      <c r="AV26" s="415"/>
      <c r="AW26" s="413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4"/>
      <c r="BI26" s="415"/>
      <c r="BJ26" s="347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48"/>
      <c r="BW26" s="348"/>
      <c r="BX26" s="348"/>
      <c r="BY26" s="348"/>
      <c r="BZ26" s="348"/>
      <c r="CA26" s="348"/>
      <c r="CB26" s="348"/>
      <c r="CC26" s="236"/>
      <c r="CD26" s="236"/>
      <c r="CE26" s="236"/>
      <c r="CF26" s="237"/>
      <c r="CG26" s="235"/>
    </row>
    <row r="27" spans="1:85" s="3" customFormat="1" ht="15.75">
      <c r="A27" s="363" t="s">
        <v>398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240"/>
      <c r="CD27" s="240"/>
      <c r="CE27" s="240"/>
      <c r="CF27" s="241"/>
      <c r="CG27" s="241"/>
    </row>
    <row r="28" spans="81:85" ht="12.75">
      <c r="CC28" s="236"/>
      <c r="CD28" s="236"/>
      <c r="CE28" s="236"/>
      <c r="CF28" s="237"/>
      <c r="CG28" s="235"/>
    </row>
    <row r="29" spans="1:85" ht="12.75">
      <c r="A29" s="364" t="s">
        <v>5</v>
      </c>
      <c r="B29" s="365"/>
      <c r="C29" s="365"/>
      <c r="D29" s="368"/>
      <c r="E29" s="364" t="s">
        <v>63</v>
      </c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8"/>
      <c r="AJ29" s="364" t="s">
        <v>29</v>
      </c>
      <c r="AK29" s="365"/>
      <c r="AL29" s="365"/>
      <c r="AM29" s="365"/>
      <c r="AN29" s="365"/>
      <c r="AO29" s="365"/>
      <c r="AP29" s="365"/>
      <c r="AQ29" s="365"/>
      <c r="AR29" s="365"/>
      <c r="AS29" s="365"/>
      <c r="AT29" s="368"/>
      <c r="AU29" s="364" t="s">
        <v>92</v>
      </c>
      <c r="AV29" s="365"/>
      <c r="AW29" s="365"/>
      <c r="AX29" s="365"/>
      <c r="AY29" s="365"/>
      <c r="AZ29" s="365"/>
      <c r="BA29" s="365"/>
      <c r="BB29" s="365"/>
      <c r="BC29" s="365"/>
      <c r="BD29" s="368"/>
      <c r="BE29" s="364" t="s">
        <v>95</v>
      </c>
      <c r="BF29" s="365"/>
      <c r="BG29" s="365"/>
      <c r="BH29" s="365"/>
      <c r="BI29" s="365"/>
      <c r="BJ29" s="365"/>
      <c r="BK29" s="365"/>
      <c r="BL29" s="365"/>
      <c r="BM29" s="365"/>
      <c r="BN29" s="365"/>
      <c r="BO29" s="368"/>
      <c r="BP29" s="364" t="s">
        <v>22</v>
      </c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236"/>
      <c r="CD29" s="236"/>
      <c r="CE29" s="236"/>
      <c r="CF29" s="237"/>
      <c r="CG29" s="235"/>
    </row>
    <row r="30" spans="1:85" ht="12.75">
      <c r="A30" s="366" t="s">
        <v>6</v>
      </c>
      <c r="B30" s="367"/>
      <c r="C30" s="367"/>
      <c r="D30" s="369"/>
      <c r="E30" s="366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9"/>
      <c r="AJ30" s="366" t="s">
        <v>90</v>
      </c>
      <c r="AK30" s="367"/>
      <c r="AL30" s="367"/>
      <c r="AM30" s="367"/>
      <c r="AN30" s="367"/>
      <c r="AO30" s="367"/>
      <c r="AP30" s="367"/>
      <c r="AQ30" s="367"/>
      <c r="AR30" s="367"/>
      <c r="AS30" s="367"/>
      <c r="AT30" s="369"/>
      <c r="AU30" s="366" t="s">
        <v>93</v>
      </c>
      <c r="AV30" s="367"/>
      <c r="AW30" s="367"/>
      <c r="AX30" s="367"/>
      <c r="AY30" s="367"/>
      <c r="AZ30" s="367"/>
      <c r="BA30" s="367"/>
      <c r="BB30" s="367"/>
      <c r="BC30" s="367"/>
      <c r="BD30" s="369"/>
      <c r="BE30" s="366" t="s">
        <v>71</v>
      </c>
      <c r="BF30" s="367"/>
      <c r="BG30" s="367"/>
      <c r="BH30" s="367"/>
      <c r="BI30" s="367"/>
      <c r="BJ30" s="367"/>
      <c r="BK30" s="367"/>
      <c r="BL30" s="367"/>
      <c r="BM30" s="367"/>
      <c r="BN30" s="367"/>
      <c r="BO30" s="369"/>
      <c r="BP30" s="366" t="s">
        <v>115</v>
      </c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236"/>
      <c r="CD30" s="236"/>
      <c r="CE30" s="236"/>
      <c r="CF30" s="237"/>
      <c r="CG30" s="235"/>
    </row>
    <row r="31" spans="1:85" ht="12.75">
      <c r="A31" s="366"/>
      <c r="B31" s="367"/>
      <c r="C31" s="367"/>
      <c r="D31" s="369"/>
      <c r="E31" s="366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9"/>
      <c r="AJ31" s="366" t="s">
        <v>91</v>
      </c>
      <c r="AK31" s="367"/>
      <c r="AL31" s="367"/>
      <c r="AM31" s="367"/>
      <c r="AN31" s="367"/>
      <c r="AO31" s="367"/>
      <c r="AP31" s="367"/>
      <c r="AQ31" s="367"/>
      <c r="AR31" s="367"/>
      <c r="AS31" s="367"/>
      <c r="AT31" s="369"/>
      <c r="AU31" s="366" t="s">
        <v>94</v>
      </c>
      <c r="AV31" s="367"/>
      <c r="AW31" s="367"/>
      <c r="AX31" s="367"/>
      <c r="AY31" s="367"/>
      <c r="AZ31" s="367"/>
      <c r="BA31" s="367"/>
      <c r="BB31" s="367"/>
      <c r="BC31" s="367"/>
      <c r="BD31" s="369"/>
      <c r="BE31" s="366"/>
      <c r="BF31" s="367"/>
      <c r="BG31" s="367"/>
      <c r="BH31" s="367"/>
      <c r="BI31" s="367"/>
      <c r="BJ31" s="367"/>
      <c r="BK31" s="367"/>
      <c r="BL31" s="367"/>
      <c r="BM31" s="367"/>
      <c r="BN31" s="367"/>
      <c r="BO31" s="369"/>
      <c r="BP31" s="366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236"/>
      <c r="CD31" s="236"/>
      <c r="CE31" s="236"/>
      <c r="CF31" s="237"/>
      <c r="CG31" s="235"/>
    </row>
    <row r="32" spans="1:84" ht="15.75">
      <c r="A32" s="339">
        <v>1</v>
      </c>
      <c r="B32" s="340"/>
      <c r="C32" s="340"/>
      <c r="D32" s="341"/>
      <c r="E32" s="339">
        <v>2</v>
      </c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1"/>
      <c r="AJ32" s="339">
        <v>4</v>
      </c>
      <c r="AK32" s="340"/>
      <c r="AL32" s="340"/>
      <c r="AM32" s="340"/>
      <c r="AN32" s="340"/>
      <c r="AO32" s="340"/>
      <c r="AP32" s="340"/>
      <c r="AQ32" s="340"/>
      <c r="AR32" s="340"/>
      <c r="AS32" s="340"/>
      <c r="AT32" s="341"/>
      <c r="AU32" s="339">
        <v>5</v>
      </c>
      <c r="AV32" s="340"/>
      <c r="AW32" s="340"/>
      <c r="AX32" s="340"/>
      <c r="AY32" s="340"/>
      <c r="AZ32" s="340"/>
      <c r="BA32" s="340"/>
      <c r="BB32" s="340"/>
      <c r="BC32" s="340"/>
      <c r="BD32" s="341"/>
      <c r="BE32" s="339">
        <v>6</v>
      </c>
      <c r="BF32" s="340"/>
      <c r="BG32" s="340"/>
      <c r="BH32" s="340"/>
      <c r="BI32" s="340"/>
      <c r="BJ32" s="340"/>
      <c r="BK32" s="340"/>
      <c r="BL32" s="340"/>
      <c r="BM32" s="340"/>
      <c r="BN32" s="340"/>
      <c r="BO32" s="341"/>
      <c r="BP32" s="339">
        <v>6</v>
      </c>
      <c r="BQ32" s="340"/>
      <c r="BR32" s="340"/>
      <c r="BS32" s="340"/>
      <c r="BT32" s="340"/>
      <c r="BU32" s="340"/>
      <c r="BV32" s="340"/>
      <c r="BW32" s="340"/>
      <c r="BX32" s="340"/>
      <c r="BY32" s="340"/>
      <c r="BZ32" s="340"/>
      <c r="CA32" s="340"/>
      <c r="CB32" s="341"/>
      <c r="CC32" s="57" t="s">
        <v>153</v>
      </c>
      <c r="CD32" s="57" t="s">
        <v>211</v>
      </c>
      <c r="CE32" s="57" t="s">
        <v>413</v>
      </c>
      <c r="CF32" s="231" t="s">
        <v>390</v>
      </c>
    </row>
    <row r="33" spans="1:84" ht="15.75" customHeight="1">
      <c r="A33" s="393">
        <v>1</v>
      </c>
      <c r="B33" s="394"/>
      <c r="C33" s="394"/>
      <c r="D33" s="395"/>
      <c r="E33" s="342" t="s">
        <v>120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4"/>
      <c r="AJ33" s="421"/>
      <c r="AK33" s="422"/>
      <c r="AL33" s="422"/>
      <c r="AM33" s="422"/>
      <c r="AN33" s="422"/>
      <c r="AO33" s="422"/>
      <c r="AP33" s="422"/>
      <c r="AQ33" s="422"/>
      <c r="AR33" s="422"/>
      <c r="AS33" s="422"/>
      <c r="AT33" s="561"/>
      <c r="AU33" s="421"/>
      <c r="AV33" s="422"/>
      <c r="AW33" s="422"/>
      <c r="AX33" s="422"/>
      <c r="AY33" s="422"/>
      <c r="AZ33" s="422"/>
      <c r="BA33" s="422"/>
      <c r="BB33" s="422"/>
      <c r="BC33" s="422"/>
      <c r="BD33" s="561"/>
      <c r="BE33" s="421"/>
      <c r="BF33" s="422"/>
      <c r="BG33" s="422"/>
      <c r="BH33" s="422"/>
      <c r="BI33" s="422"/>
      <c r="BJ33" s="422"/>
      <c r="BK33" s="422"/>
      <c r="BL33" s="422"/>
      <c r="BM33" s="422"/>
      <c r="BN33" s="422"/>
      <c r="BO33" s="561"/>
      <c r="BP33" s="357">
        <v>1176573.25</v>
      </c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9"/>
      <c r="CC33" s="59">
        <v>1176573.25</v>
      </c>
      <c r="CD33" s="59">
        <f>125312.58+215428.82+156000.18+11960.01</f>
        <v>508701.59</v>
      </c>
      <c r="CE33" s="59">
        <f>CC33-CD33</f>
        <v>667871.6599999999</v>
      </c>
      <c r="CF33" s="183">
        <f>BP33-CC33</f>
        <v>0</v>
      </c>
    </row>
    <row r="34" spans="1:84" ht="15.75" customHeight="1">
      <c r="A34" s="393">
        <v>2</v>
      </c>
      <c r="B34" s="394"/>
      <c r="C34" s="394"/>
      <c r="D34" s="395"/>
      <c r="E34" s="342" t="s">
        <v>121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4"/>
      <c r="AJ34" s="421"/>
      <c r="AK34" s="422"/>
      <c r="AL34" s="422"/>
      <c r="AM34" s="422"/>
      <c r="AN34" s="422"/>
      <c r="AO34" s="422"/>
      <c r="AP34" s="422"/>
      <c r="AQ34" s="422"/>
      <c r="AR34" s="422"/>
      <c r="AS34" s="422"/>
      <c r="AT34" s="561"/>
      <c r="AU34" s="421"/>
      <c r="AV34" s="422"/>
      <c r="AW34" s="422"/>
      <c r="AX34" s="422"/>
      <c r="AY34" s="422"/>
      <c r="AZ34" s="422"/>
      <c r="BA34" s="422"/>
      <c r="BB34" s="422"/>
      <c r="BC34" s="422"/>
      <c r="BD34" s="561"/>
      <c r="BE34" s="421"/>
      <c r="BF34" s="422"/>
      <c r="BG34" s="422"/>
      <c r="BH34" s="422"/>
      <c r="BI34" s="422"/>
      <c r="BJ34" s="422"/>
      <c r="BK34" s="422"/>
      <c r="BL34" s="422"/>
      <c r="BM34" s="422"/>
      <c r="BN34" s="422"/>
      <c r="BO34" s="561"/>
      <c r="BP34" s="357">
        <v>183870.96</v>
      </c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9"/>
      <c r="CC34" s="59">
        <v>183870.96</v>
      </c>
      <c r="CD34" s="59">
        <f>29598.16+20877.74+17498.62+5074.96+4879.51+4055.29+5843.83</f>
        <v>87828.11</v>
      </c>
      <c r="CE34" s="59">
        <f>CC34-CD34</f>
        <v>96042.84999999999</v>
      </c>
      <c r="CF34" s="183">
        <f>BP34-CC34</f>
        <v>0</v>
      </c>
    </row>
    <row r="35" spans="1:84" ht="15.75" customHeight="1">
      <c r="A35" s="393">
        <v>4</v>
      </c>
      <c r="B35" s="394"/>
      <c r="C35" s="394"/>
      <c r="D35" s="395"/>
      <c r="E35" s="342" t="s">
        <v>356</v>
      </c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4"/>
      <c r="AJ35" s="421"/>
      <c r="AK35" s="422"/>
      <c r="AL35" s="422"/>
      <c r="AM35" s="422"/>
      <c r="AN35" s="422"/>
      <c r="AO35" s="422"/>
      <c r="AP35" s="422"/>
      <c r="AQ35" s="422"/>
      <c r="AR35" s="422"/>
      <c r="AS35" s="422"/>
      <c r="AT35" s="561"/>
      <c r="AU35" s="421"/>
      <c r="AV35" s="422"/>
      <c r="AW35" s="422"/>
      <c r="AX35" s="422"/>
      <c r="AY35" s="422"/>
      <c r="AZ35" s="422"/>
      <c r="BA35" s="422"/>
      <c r="BB35" s="422"/>
      <c r="BC35" s="422"/>
      <c r="BD35" s="561"/>
      <c r="BE35" s="421"/>
      <c r="BF35" s="422"/>
      <c r="BG35" s="422"/>
      <c r="BH35" s="422"/>
      <c r="BI35" s="422"/>
      <c r="BJ35" s="422"/>
      <c r="BK35" s="422"/>
      <c r="BL35" s="422"/>
      <c r="BM35" s="422"/>
      <c r="BN35" s="422"/>
      <c r="BO35" s="561"/>
      <c r="BP35" s="357">
        <v>219821.01</v>
      </c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9"/>
      <c r="CC35" s="59">
        <v>219821</v>
      </c>
      <c r="CD35" s="59">
        <f>11482.62+2282.99+26687.77+921.12+921.12+1013.23+1105.35</f>
        <v>44414.20000000001</v>
      </c>
      <c r="CE35" s="59">
        <f>CC35-CD35</f>
        <v>175406.8</v>
      </c>
      <c r="CF35" s="183">
        <f>BP35-CC35</f>
        <v>0.010000000009313226</v>
      </c>
    </row>
    <row r="36" spans="1:84" ht="15.75" customHeight="1">
      <c r="A36" s="393">
        <v>5</v>
      </c>
      <c r="B36" s="394"/>
      <c r="C36" s="394"/>
      <c r="D36" s="395"/>
      <c r="E36" s="342" t="s">
        <v>351</v>
      </c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4"/>
      <c r="AJ36" s="421"/>
      <c r="AK36" s="422"/>
      <c r="AL36" s="422"/>
      <c r="AM36" s="422"/>
      <c r="AN36" s="422"/>
      <c r="AO36" s="422"/>
      <c r="AP36" s="422"/>
      <c r="AQ36" s="422"/>
      <c r="AR36" s="422"/>
      <c r="AS36" s="422"/>
      <c r="AT36" s="561"/>
      <c r="AU36" s="421"/>
      <c r="AV36" s="422"/>
      <c r="AW36" s="422"/>
      <c r="AX36" s="422"/>
      <c r="AY36" s="422"/>
      <c r="AZ36" s="422"/>
      <c r="BA36" s="422"/>
      <c r="BB36" s="422"/>
      <c r="BC36" s="422"/>
      <c r="BD36" s="561"/>
      <c r="BE36" s="421"/>
      <c r="BF36" s="422"/>
      <c r="BG36" s="422"/>
      <c r="BH36" s="422"/>
      <c r="BI36" s="422"/>
      <c r="BJ36" s="422"/>
      <c r="BK36" s="422"/>
      <c r="BL36" s="422"/>
      <c r="BM36" s="422"/>
      <c r="BN36" s="422"/>
      <c r="BO36" s="561"/>
      <c r="BP36" s="357">
        <v>41429.44</v>
      </c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9"/>
      <c r="CC36" s="59">
        <v>41429.44</v>
      </c>
      <c r="CD36" s="59">
        <f>2267.76+1511.84+1511.84+755.92</f>
        <v>6047.360000000001</v>
      </c>
      <c r="CE36" s="59">
        <f>CC36-CD36</f>
        <v>35382.08</v>
      </c>
      <c r="CF36" s="183">
        <f>BP36-CC36</f>
        <v>0</v>
      </c>
    </row>
    <row r="37" spans="1:85" s="155" customFormat="1" ht="12.75">
      <c r="A37" s="443"/>
      <c r="B37" s="444"/>
      <c r="C37" s="444"/>
      <c r="D37" s="445"/>
      <c r="E37" s="432" t="s">
        <v>10</v>
      </c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4"/>
      <c r="AJ37" s="360" t="s">
        <v>11</v>
      </c>
      <c r="AK37" s="361"/>
      <c r="AL37" s="361"/>
      <c r="AM37" s="361"/>
      <c r="AN37" s="361"/>
      <c r="AO37" s="361"/>
      <c r="AP37" s="361"/>
      <c r="AQ37" s="361"/>
      <c r="AR37" s="361"/>
      <c r="AS37" s="361"/>
      <c r="AT37" s="362"/>
      <c r="AU37" s="360" t="s">
        <v>11</v>
      </c>
      <c r="AV37" s="361"/>
      <c r="AW37" s="361"/>
      <c r="AX37" s="361"/>
      <c r="AY37" s="361"/>
      <c r="AZ37" s="361"/>
      <c r="BA37" s="361"/>
      <c r="BB37" s="361"/>
      <c r="BC37" s="361"/>
      <c r="BD37" s="362"/>
      <c r="BE37" s="360" t="s">
        <v>11</v>
      </c>
      <c r="BF37" s="361"/>
      <c r="BG37" s="361"/>
      <c r="BH37" s="361"/>
      <c r="BI37" s="361"/>
      <c r="BJ37" s="361"/>
      <c r="BK37" s="361"/>
      <c r="BL37" s="361"/>
      <c r="BM37" s="361"/>
      <c r="BN37" s="361"/>
      <c r="BO37" s="362"/>
      <c r="BP37" s="372">
        <f>SUM(BP33:CB36)</f>
        <v>1621694.66</v>
      </c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3"/>
      <c r="CB37" s="373"/>
      <c r="CC37" s="197"/>
      <c r="CD37" s="197"/>
      <c r="CE37" s="197"/>
      <c r="CF37" s="237"/>
      <c r="CG37" s="154"/>
    </row>
    <row r="38" spans="68:85" s="1" customFormat="1" ht="15.75"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238"/>
      <c r="CD38" s="238"/>
      <c r="CE38" s="238"/>
      <c r="CF38" s="237"/>
      <c r="CG38" s="239"/>
    </row>
    <row r="39" spans="1:85" s="3" customFormat="1" ht="15.75" hidden="1">
      <c r="A39" s="363" t="s">
        <v>96</v>
      </c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3"/>
      <c r="BM39" s="363"/>
      <c r="BN39" s="363"/>
      <c r="BO39" s="363"/>
      <c r="BP39" s="363"/>
      <c r="BQ39" s="363"/>
      <c r="BR39" s="363"/>
      <c r="BS39" s="363"/>
      <c r="BT39" s="363"/>
      <c r="BU39" s="363"/>
      <c r="BV39" s="363"/>
      <c r="BW39" s="363"/>
      <c r="BX39" s="363"/>
      <c r="BY39" s="363"/>
      <c r="BZ39" s="363"/>
      <c r="CA39" s="363"/>
      <c r="CB39" s="363"/>
      <c r="CC39" s="240"/>
      <c r="CD39" s="240"/>
      <c r="CE39" s="240"/>
      <c r="CF39" s="237"/>
      <c r="CG39" s="241"/>
    </row>
    <row r="40" spans="81:85" ht="12.75" hidden="1">
      <c r="CC40" s="236"/>
      <c r="CD40" s="236"/>
      <c r="CE40" s="236"/>
      <c r="CF40" s="237"/>
      <c r="CG40" s="235"/>
    </row>
    <row r="41" spans="1:85" ht="12.75" hidden="1">
      <c r="A41" s="364" t="s">
        <v>5</v>
      </c>
      <c r="B41" s="365"/>
      <c r="C41" s="365"/>
      <c r="D41" s="368"/>
      <c r="E41" s="364" t="s">
        <v>63</v>
      </c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  <c r="AO41" s="365"/>
      <c r="AP41" s="365"/>
      <c r="AQ41" s="368"/>
      <c r="AR41" s="364" t="s">
        <v>18</v>
      </c>
      <c r="AS41" s="365"/>
      <c r="AT41" s="365"/>
      <c r="AU41" s="365"/>
      <c r="AV41" s="365"/>
      <c r="AW41" s="365"/>
      <c r="AX41" s="365"/>
      <c r="AY41" s="365"/>
      <c r="AZ41" s="365"/>
      <c r="BA41" s="365"/>
      <c r="BB41" s="365"/>
      <c r="BC41" s="368"/>
      <c r="BD41" s="364" t="s">
        <v>97</v>
      </c>
      <c r="BE41" s="365"/>
      <c r="BF41" s="365"/>
      <c r="BG41" s="365"/>
      <c r="BH41" s="365"/>
      <c r="BI41" s="365"/>
      <c r="BJ41" s="365"/>
      <c r="BK41" s="365"/>
      <c r="BL41" s="365"/>
      <c r="BM41" s="365"/>
      <c r="BN41" s="368"/>
      <c r="BO41" s="364" t="s">
        <v>83</v>
      </c>
      <c r="BP41" s="365"/>
      <c r="BQ41" s="365"/>
      <c r="BR41" s="365"/>
      <c r="BS41" s="365"/>
      <c r="BT41" s="365"/>
      <c r="BU41" s="365"/>
      <c r="BV41" s="365"/>
      <c r="BW41" s="365"/>
      <c r="BX41" s="365"/>
      <c r="BY41" s="365"/>
      <c r="BZ41" s="365"/>
      <c r="CA41" s="365"/>
      <c r="CB41" s="365"/>
      <c r="CC41" s="236"/>
      <c r="CD41" s="236"/>
      <c r="CE41" s="236"/>
      <c r="CF41" s="237"/>
      <c r="CG41" s="235"/>
    </row>
    <row r="42" spans="1:85" ht="12.75" hidden="1">
      <c r="A42" s="366" t="s">
        <v>6</v>
      </c>
      <c r="B42" s="367"/>
      <c r="C42" s="367"/>
      <c r="D42" s="369"/>
      <c r="E42" s="366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9"/>
      <c r="AR42" s="366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9"/>
      <c r="BD42" s="366" t="s">
        <v>98</v>
      </c>
      <c r="BE42" s="367"/>
      <c r="BF42" s="367"/>
      <c r="BG42" s="367"/>
      <c r="BH42" s="367"/>
      <c r="BI42" s="367"/>
      <c r="BJ42" s="367"/>
      <c r="BK42" s="367"/>
      <c r="BL42" s="367"/>
      <c r="BM42" s="367"/>
      <c r="BN42" s="369"/>
      <c r="BO42" s="366" t="s">
        <v>100</v>
      </c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236"/>
      <c r="CD42" s="236"/>
      <c r="CE42" s="236"/>
      <c r="CF42" s="237"/>
      <c r="CG42" s="235"/>
    </row>
    <row r="43" spans="1:85" ht="12.75" hidden="1">
      <c r="A43" s="366"/>
      <c r="B43" s="367"/>
      <c r="C43" s="367"/>
      <c r="D43" s="369"/>
      <c r="E43" s="366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9"/>
      <c r="AR43" s="366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9"/>
      <c r="BD43" s="366" t="s">
        <v>99</v>
      </c>
      <c r="BE43" s="367"/>
      <c r="BF43" s="367"/>
      <c r="BG43" s="367"/>
      <c r="BH43" s="367"/>
      <c r="BI43" s="367"/>
      <c r="BJ43" s="367"/>
      <c r="BK43" s="367"/>
      <c r="BL43" s="367"/>
      <c r="BM43" s="367"/>
      <c r="BN43" s="369"/>
      <c r="BO43" s="366" t="s">
        <v>17</v>
      </c>
      <c r="BP43" s="367"/>
      <c r="BQ43" s="367"/>
      <c r="BR43" s="367"/>
      <c r="BS43" s="367"/>
      <c r="BT43" s="367"/>
      <c r="BU43" s="367"/>
      <c r="BV43" s="367"/>
      <c r="BW43" s="367"/>
      <c r="BX43" s="367"/>
      <c r="BY43" s="367"/>
      <c r="BZ43" s="367"/>
      <c r="CA43" s="367"/>
      <c r="CB43" s="367"/>
      <c r="CC43" s="236"/>
      <c r="CD43" s="236"/>
      <c r="CE43" s="236"/>
      <c r="CF43" s="237"/>
      <c r="CG43" s="235"/>
    </row>
    <row r="44" spans="1:85" ht="12.75" hidden="1">
      <c r="A44" s="396">
        <v>1</v>
      </c>
      <c r="B44" s="397"/>
      <c r="C44" s="397"/>
      <c r="D44" s="398"/>
      <c r="E44" s="396">
        <v>2</v>
      </c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8"/>
      <c r="AR44" s="396">
        <v>4</v>
      </c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8"/>
      <c r="BD44" s="396">
        <v>5</v>
      </c>
      <c r="BE44" s="397"/>
      <c r="BF44" s="397"/>
      <c r="BG44" s="397"/>
      <c r="BH44" s="397"/>
      <c r="BI44" s="397"/>
      <c r="BJ44" s="397"/>
      <c r="BK44" s="397"/>
      <c r="BL44" s="397"/>
      <c r="BM44" s="397"/>
      <c r="BN44" s="398"/>
      <c r="BO44" s="396">
        <v>6</v>
      </c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236"/>
      <c r="CD44" s="236"/>
      <c r="CE44" s="236"/>
      <c r="CF44" s="237"/>
      <c r="CG44" s="235"/>
    </row>
    <row r="45" spans="1:85" ht="12.75" hidden="1">
      <c r="A45" s="342"/>
      <c r="B45" s="343"/>
      <c r="C45" s="343"/>
      <c r="D45" s="344"/>
      <c r="E45" s="342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4"/>
      <c r="AR45" s="347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9"/>
      <c r="BD45" s="347"/>
      <c r="BE45" s="348"/>
      <c r="BF45" s="348"/>
      <c r="BG45" s="348"/>
      <c r="BH45" s="348"/>
      <c r="BI45" s="348"/>
      <c r="BJ45" s="348"/>
      <c r="BK45" s="348"/>
      <c r="BL45" s="348"/>
      <c r="BM45" s="348"/>
      <c r="BN45" s="349"/>
      <c r="BO45" s="347"/>
      <c r="BP45" s="348"/>
      <c r="BQ45" s="348"/>
      <c r="BR45" s="348"/>
      <c r="BS45" s="348"/>
      <c r="BT45" s="348"/>
      <c r="BU45" s="348"/>
      <c r="BV45" s="348"/>
      <c r="BW45" s="348"/>
      <c r="BX45" s="348"/>
      <c r="BY45" s="348"/>
      <c r="BZ45" s="348"/>
      <c r="CA45" s="348"/>
      <c r="CB45" s="348"/>
      <c r="CC45" s="236"/>
      <c r="CD45" s="236"/>
      <c r="CE45" s="236"/>
      <c r="CF45" s="237"/>
      <c r="CG45" s="235"/>
    </row>
    <row r="46" spans="1:85" ht="12.75" hidden="1">
      <c r="A46" s="342"/>
      <c r="B46" s="343"/>
      <c r="C46" s="343"/>
      <c r="D46" s="344"/>
      <c r="E46" s="342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4"/>
      <c r="AR46" s="347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9"/>
      <c r="BD46" s="347"/>
      <c r="BE46" s="348"/>
      <c r="BF46" s="348"/>
      <c r="BG46" s="348"/>
      <c r="BH46" s="348"/>
      <c r="BI46" s="348"/>
      <c r="BJ46" s="348"/>
      <c r="BK46" s="348"/>
      <c r="BL46" s="348"/>
      <c r="BM46" s="348"/>
      <c r="BN46" s="349"/>
      <c r="BO46" s="347"/>
      <c r="BP46" s="348"/>
      <c r="BQ46" s="348"/>
      <c r="BR46" s="348"/>
      <c r="BS46" s="348"/>
      <c r="BT46" s="348"/>
      <c r="BU46" s="348"/>
      <c r="BV46" s="348"/>
      <c r="BW46" s="348"/>
      <c r="BX46" s="348"/>
      <c r="BY46" s="348"/>
      <c r="BZ46" s="348"/>
      <c r="CA46" s="348"/>
      <c r="CB46" s="348"/>
      <c r="CC46" s="236"/>
      <c r="CD46" s="236"/>
      <c r="CE46" s="236"/>
      <c r="CF46" s="237"/>
      <c r="CG46" s="235"/>
    </row>
    <row r="47" spans="1:85" ht="12.75" hidden="1">
      <c r="A47" s="342"/>
      <c r="B47" s="343"/>
      <c r="C47" s="343"/>
      <c r="D47" s="344"/>
      <c r="E47" s="413" t="s">
        <v>10</v>
      </c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5"/>
      <c r="AR47" s="393" t="s">
        <v>11</v>
      </c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5"/>
      <c r="BD47" s="393" t="s">
        <v>11</v>
      </c>
      <c r="BE47" s="394"/>
      <c r="BF47" s="394"/>
      <c r="BG47" s="394"/>
      <c r="BH47" s="394"/>
      <c r="BI47" s="394"/>
      <c r="BJ47" s="394"/>
      <c r="BK47" s="394"/>
      <c r="BL47" s="394"/>
      <c r="BM47" s="394"/>
      <c r="BN47" s="395"/>
      <c r="BO47" s="384" t="s">
        <v>11</v>
      </c>
      <c r="BP47" s="385"/>
      <c r="BQ47" s="385"/>
      <c r="BR47" s="385"/>
      <c r="BS47" s="385"/>
      <c r="BT47" s="385"/>
      <c r="BU47" s="385"/>
      <c r="BV47" s="385"/>
      <c r="BW47" s="385"/>
      <c r="BX47" s="385"/>
      <c r="BY47" s="385"/>
      <c r="BZ47" s="385"/>
      <c r="CA47" s="385"/>
      <c r="CB47" s="385"/>
      <c r="CC47" s="236"/>
      <c r="CD47" s="236"/>
      <c r="CE47" s="236"/>
      <c r="CF47" s="237"/>
      <c r="CG47" s="235"/>
    </row>
    <row r="48" spans="81:85" s="1" customFormat="1" ht="15.75" hidden="1">
      <c r="CC48" s="238"/>
      <c r="CD48" s="238"/>
      <c r="CE48" s="238"/>
      <c r="CF48" s="237"/>
      <c r="CG48" s="239"/>
    </row>
    <row r="49" spans="1:85" s="3" customFormat="1" ht="15.75">
      <c r="A49" s="363" t="s">
        <v>397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3"/>
      <c r="AV49" s="363"/>
      <c r="AW49" s="363"/>
      <c r="AX49" s="363"/>
      <c r="AY49" s="363"/>
      <c r="AZ49" s="363"/>
      <c r="BA49" s="363"/>
      <c r="BB49" s="363"/>
      <c r="BC49" s="363"/>
      <c r="BD49" s="363"/>
      <c r="BE49" s="363"/>
      <c r="BF49" s="363"/>
      <c r="BG49" s="363"/>
      <c r="BH49" s="363"/>
      <c r="BI49" s="363"/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191"/>
      <c r="CD49" s="240"/>
      <c r="CE49" s="240"/>
      <c r="CF49" s="241"/>
      <c r="CG49" s="241"/>
    </row>
    <row r="50" spans="1:85" s="6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242"/>
      <c r="CD50" s="243"/>
      <c r="CE50" s="243"/>
      <c r="CF50" s="237"/>
      <c r="CG50" s="244"/>
    </row>
    <row r="51" spans="1:85" ht="12.75">
      <c r="A51" s="364" t="s">
        <v>5</v>
      </c>
      <c r="B51" s="365"/>
      <c r="C51" s="365"/>
      <c r="D51" s="368"/>
      <c r="E51" s="364" t="s">
        <v>13</v>
      </c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8"/>
      <c r="AN51" s="364" t="s">
        <v>101</v>
      </c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C51" s="368"/>
      <c r="BD51" s="364" t="s">
        <v>18</v>
      </c>
      <c r="BE51" s="365"/>
      <c r="BF51" s="365"/>
      <c r="BG51" s="365"/>
      <c r="BH51" s="365"/>
      <c r="BI51" s="365"/>
      <c r="BJ51" s="365"/>
      <c r="BK51" s="365"/>
      <c r="BL51" s="365"/>
      <c r="BM51" s="368"/>
      <c r="BN51" s="364" t="s">
        <v>83</v>
      </c>
      <c r="BO51" s="365"/>
      <c r="BP51" s="365"/>
      <c r="BQ51" s="365"/>
      <c r="BR51" s="365"/>
      <c r="BS51" s="365"/>
      <c r="BT51" s="365"/>
      <c r="BU51" s="365"/>
      <c r="BV51" s="365"/>
      <c r="BW51" s="365"/>
      <c r="BX51" s="365"/>
      <c r="BY51" s="365"/>
      <c r="BZ51" s="365"/>
      <c r="CA51" s="365"/>
      <c r="CB51" s="365"/>
      <c r="CC51" s="192"/>
      <c r="CD51" s="236"/>
      <c r="CE51" s="236"/>
      <c r="CF51" s="237"/>
      <c r="CG51" s="235"/>
    </row>
    <row r="52" spans="1:85" ht="12.75">
      <c r="A52" s="366" t="s">
        <v>6</v>
      </c>
      <c r="B52" s="367"/>
      <c r="C52" s="367"/>
      <c r="D52" s="369"/>
      <c r="E52" s="366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9"/>
      <c r="AN52" s="366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9"/>
      <c r="BD52" s="366" t="s">
        <v>102</v>
      </c>
      <c r="BE52" s="367"/>
      <c r="BF52" s="367"/>
      <c r="BG52" s="367"/>
      <c r="BH52" s="367"/>
      <c r="BI52" s="367"/>
      <c r="BJ52" s="367"/>
      <c r="BK52" s="367"/>
      <c r="BL52" s="367"/>
      <c r="BM52" s="369"/>
      <c r="BN52" s="366" t="s">
        <v>116</v>
      </c>
      <c r="BO52" s="367"/>
      <c r="BP52" s="367"/>
      <c r="BQ52" s="367"/>
      <c r="BR52" s="367"/>
      <c r="BS52" s="367"/>
      <c r="BT52" s="367"/>
      <c r="BU52" s="367"/>
      <c r="BV52" s="367"/>
      <c r="BW52" s="367"/>
      <c r="BX52" s="367"/>
      <c r="BY52" s="367"/>
      <c r="BZ52" s="367"/>
      <c r="CA52" s="367"/>
      <c r="CB52" s="367"/>
      <c r="CC52" s="192"/>
      <c r="CD52" s="236"/>
      <c r="CE52" s="236"/>
      <c r="CF52" s="237"/>
      <c r="CG52" s="235"/>
    </row>
    <row r="53" spans="1:85" ht="12.75">
      <c r="A53" s="366"/>
      <c r="B53" s="367"/>
      <c r="C53" s="367"/>
      <c r="D53" s="369"/>
      <c r="E53" s="366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  <c r="Z53" s="367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9"/>
      <c r="AN53" s="366"/>
      <c r="AO53" s="367"/>
      <c r="AP53" s="367"/>
      <c r="AQ53" s="367"/>
      <c r="AR53" s="367"/>
      <c r="AS53" s="367"/>
      <c r="AT53" s="367"/>
      <c r="AU53" s="367"/>
      <c r="AV53" s="367"/>
      <c r="AW53" s="367"/>
      <c r="AX53" s="367"/>
      <c r="AY53" s="367"/>
      <c r="AZ53" s="367"/>
      <c r="BA53" s="367"/>
      <c r="BB53" s="367"/>
      <c r="BC53" s="369"/>
      <c r="BD53" s="366" t="s">
        <v>103</v>
      </c>
      <c r="BE53" s="367"/>
      <c r="BF53" s="367"/>
      <c r="BG53" s="367"/>
      <c r="BH53" s="367"/>
      <c r="BI53" s="367"/>
      <c r="BJ53" s="367"/>
      <c r="BK53" s="367"/>
      <c r="BL53" s="367"/>
      <c r="BM53" s="369"/>
      <c r="BN53" s="366" t="s">
        <v>17</v>
      </c>
      <c r="BO53" s="367"/>
      <c r="BP53" s="367"/>
      <c r="BQ53" s="367"/>
      <c r="BR53" s="367"/>
      <c r="BS53" s="367"/>
      <c r="BT53" s="367"/>
      <c r="BU53" s="367"/>
      <c r="BV53" s="367"/>
      <c r="BW53" s="367"/>
      <c r="BX53" s="367"/>
      <c r="BY53" s="367"/>
      <c r="BZ53" s="367"/>
      <c r="CA53" s="367"/>
      <c r="CB53" s="367"/>
      <c r="CC53" s="192"/>
      <c r="CD53" s="236"/>
      <c r="CE53" s="236"/>
      <c r="CF53" s="237"/>
      <c r="CG53" s="235"/>
    </row>
    <row r="54" spans="1:84" ht="11.25" customHeight="1">
      <c r="A54" s="396">
        <v>1</v>
      </c>
      <c r="B54" s="397"/>
      <c r="C54" s="397"/>
      <c r="D54" s="398"/>
      <c r="E54" s="396">
        <v>2</v>
      </c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7"/>
      <c r="AC54" s="397"/>
      <c r="AD54" s="397"/>
      <c r="AE54" s="397"/>
      <c r="AF54" s="397"/>
      <c r="AG54" s="397"/>
      <c r="AH54" s="397"/>
      <c r="AI54" s="397"/>
      <c r="AJ54" s="397"/>
      <c r="AK54" s="397"/>
      <c r="AL54" s="397"/>
      <c r="AM54" s="398"/>
      <c r="AN54" s="396">
        <v>3</v>
      </c>
      <c r="AO54" s="397"/>
      <c r="AP54" s="397"/>
      <c r="AQ54" s="397"/>
      <c r="AR54" s="397"/>
      <c r="AS54" s="397"/>
      <c r="AT54" s="397"/>
      <c r="AU54" s="397"/>
      <c r="AV54" s="397"/>
      <c r="AW54" s="397"/>
      <c r="AX54" s="397"/>
      <c r="AY54" s="397"/>
      <c r="AZ54" s="397"/>
      <c r="BA54" s="397"/>
      <c r="BB54" s="397"/>
      <c r="BC54" s="398"/>
      <c r="BD54" s="396">
        <v>4</v>
      </c>
      <c r="BE54" s="397"/>
      <c r="BF54" s="397"/>
      <c r="BG54" s="397"/>
      <c r="BH54" s="397"/>
      <c r="BI54" s="397"/>
      <c r="BJ54" s="397"/>
      <c r="BK54" s="397"/>
      <c r="BL54" s="397"/>
      <c r="BM54" s="398"/>
      <c r="BN54" s="396">
        <v>5</v>
      </c>
      <c r="BO54" s="397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8"/>
      <c r="CC54" s="57" t="s">
        <v>153</v>
      </c>
      <c r="CD54" s="57" t="s">
        <v>211</v>
      </c>
      <c r="CE54" s="57" t="s">
        <v>413</v>
      </c>
      <c r="CF54" s="231" t="s">
        <v>390</v>
      </c>
    </row>
    <row r="55" spans="1:84" s="14" customFormat="1" ht="19.5" customHeight="1">
      <c r="A55" s="540">
        <v>1</v>
      </c>
      <c r="B55" s="541"/>
      <c r="C55" s="541"/>
      <c r="D55" s="542"/>
      <c r="E55" s="464" t="s">
        <v>122</v>
      </c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AL55" s="465"/>
      <c r="AM55" s="466"/>
      <c r="AN55" s="555"/>
      <c r="AO55" s="556"/>
      <c r="AP55" s="556"/>
      <c r="AQ55" s="556"/>
      <c r="AR55" s="556"/>
      <c r="AS55" s="556"/>
      <c r="AT55" s="556"/>
      <c r="AU55" s="556"/>
      <c r="AV55" s="556"/>
      <c r="AW55" s="556"/>
      <c r="AX55" s="556"/>
      <c r="AY55" s="556"/>
      <c r="AZ55" s="556"/>
      <c r="BA55" s="556"/>
      <c r="BB55" s="556"/>
      <c r="BC55" s="557"/>
      <c r="BD55" s="567"/>
      <c r="BE55" s="568"/>
      <c r="BF55" s="568"/>
      <c r="BG55" s="568"/>
      <c r="BH55" s="568"/>
      <c r="BI55" s="568"/>
      <c r="BJ55" s="568"/>
      <c r="BK55" s="568"/>
      <c r="BL55" s="568"/>
      <c r="BM55" s="569"/>
      <c r="BN55" s="467">
        <v>15600</v>
      </c>
      <c r="BO55" s="468"/>
      <c r="BP55" s="468"/>
      <c r="BQ55" s="468"/>
      <c r="BR55" s="468"/>
      <c r="BS55" s="468"/>
      <c r="BT55" s="468"/>
      <c r="BU55" s="468"/>
      <c r="BV55" s="468"/>
      <c r="BW55" s="468"/>
      <c r="BX55" s="468"/>
      <c r="BY55" s="468"/>
      <c r="BZ55" s="468"/>
      <c r="CA55" s="468"/>
      <c r="CB55" s="469"/>
      <c r="CC55" s="55">
        <v>15600</v>
      </c>
      <c r="CD55" s="55">
        <f>1300+1300+1300+1300+1300+1300+1300</f>
        <v>9100</v>
      </c>
      <c r="CE55" s="55">
        <f>CC55-CD55</f>
        <v>6500</v>
      </c>
      <c r="CF55" s="183">
        <f>BN55-CC55</f>
        <v>0</v>
      </c>
    </row>
    <row r="56" spans="1:84" s="14" customFormat="1" ht="19.5" customHeight="1">
      <c r="A56" s="540">
        <v>2</v>
      </c>
      <c r="B56" s="541"/>
      <c r="C56" s="541"/>
      <c r="D56" s="542"/>
      <c r="E56" s="464" t="s">
        <v>123</v>
      </c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5"/>
      <c r="R56" s="465"/>
      <c r="S56" s="465"/>
      <c r="T56" s="465"/>
      <c r="U56" s="465"/>
      <c r="V56" s="465"/>
      <c r="W56" s="465"/>
      <c r="X56" s="465"/>
      <c r="Y56" s="465"/>
      <c r="Z56" s="465"/>
      <c r="AA56" s="465"/>
      <c r="AB56" s="465"/>
      <c r="AC56" s="465"/>
      <c r="AD56" s="465"/>
      <c r="AE56" s="465"/>
      <c r="AF56" s="465"/>
      <c r="AG56" s="465"/>
      <c r="AH56" s="465"/>
      <c r="AI56" s="465"/>
      <c r="AJ56" s="465"/>
      <c r="AK56" s="465"/>
      <c r="AL56" s="465"/>
      <c r="AM56" s="466"/>
      <c r="AN56" s="555"/>
      <c r="AO56" s="556"/>
      <c r="AP56" s="556"/>
      <c r="AQ56" s="556"/>
      <c r="AR56" s="556"/>
      <c r="AS56" s="556"/>
      <c r="AT56" s="556"/>
      <c r="AU56" s="556"/>
      <c r="AV56" s="556"/>
      <c r="AW56" s="556"/>
      <c r="AX56" s="556"/>
      <c r="AY56" s="556"/>
      <c r="AZ56" s="556"/>
      <c r="BA56" s="556"/>
      <c r="BB56" s="556"/>
      <c r="BC56" s="557"/>
      <c r="BD56" s="558"/>
      <c r="BE56" s="559"/>
      <c r="BF56" s="559"/>
      <c r="BG56" s="559"/>
      <c r="BH56" s="559"/>
      <c r="BI56" s="559"/>
      <c r="BJ56" s="559"/>
      <c r="BK56" s="559"/>
      <c r="BL56" s="559"/>
      <c r="BM56" s="560"/>
      <c r="BN56" s="467">
        <f>16926-16000</f>
        <v>926</v>
      </c>
      <c r="BO56" s="468"/>
      <c r="BP56" s="468"/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9"/>
      <c r="CC56" s="55"/>
      <c r="CD56" s="55"/>
      <c r="CE56" s="55">
        <f aca="true" t="shared" si="0" ref="CE56:CE71">CC56-CD56</f>
        <v>0</v>
      </c>
      <c r="CF56" s="183">
        <f aca="true" t="shared" si="1" ref="CF56:CF71">BN56-CC56</f>
        <v>926</v>
      </c>
    </row>
    <row r="57" spans="1:84" s="14" customFormat="1" ht="19.5" customHeight="1">
      <c r="A57" s="540">
        <v>3</v>
      </c>
      <c r="B57" s="541"/>
      <c r="C57" s="541"/>
      <c r="D57" s="542"/>
      <c r="E57" s="464" t="s">
        <v>367</v>
      </c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  <c r="Q57" s="465"/>
      <c r="R57" s="465"/>
      <c r="S57" s="465"/>
      <c r="T57" s="465"/>
      <c r="U57" s="465"/>
      <c r="V57" s="465"/>
      <c r="W57" s="465"/>
      <c r="X57" s="465"/>
      <c r="Y57" s="465"/>
      <c r="Z57" s="465"/>
      <c r="AA57" s="465"/>
      <c r="AB57" s="465"/>
      <c r="AC57" s="465"/>
      <c r="AD57" s="465"/>
      <c r="AE57" s="465"/>
      <c r="AF57" s="465"/>
      <c r="AG57" s="465"/>
      <c r="AH57" s="465"/>
      <c r="AI57" s="465"/>
      <c r="AJ57" s="465"/>
      <c r="AK57" s="465"/>
      <c r="AL57" s="465"/>
      <c r="AM57" s="466"/>
      <c r="AN57" s="555"/>
      <c r="AO57" s="556"/>
      <c r="AP57" s="556"/>
      <c r="AQ57" s="556"/>
      <c r="AR57" s="556"/>
      <c r="AS57" s="556"/>
      <c r="AT57" s="556"/>
      <c r="AU57" s="556"/>
      <c r="AV57" s="556"/>
      <c r="AW57" s="556"/>
      <c r="AX57" s="556"/>
      <c r="AY57" s="556"/>
      <c r="AZ57" s="556"/>
      <c r="BA57" s="556"/>
      <c r="BB57" s="556"/>
      <c r="BC57" s="557"/>
      <c r="BD57" s="558"/>
      <c r="BE57" s="559"/>
      <c r="BF57" s="559"/>
      <c r="BG57" s="559"/>
      <c r="BH57" s="559"/>
      <c r="BI57" s="559"/>
      <c r="BJ57" s="559"/>
      <c r="BK57" s="559"/>
      <c r="BL57" s="559"/>
      <c r="BM57" s="560"/>
      <c r="BN57" s="467">
        <f>18495.68+974.32</f>
        <v>19470</v>
      </c>
      <c r="BO57" s="468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9"/>
      <c r="CC57" s="55">
        <f>19470</f>
        <v>19470</v>
      </c>
      <c r="CD57" s="55">
        <v>19470</v>
      </c>
      <c r="CE57" s="55">
        <f t="shared" si="0"/>
        <v>0</v>
      </c>
      <c r="CF57" s="183">
        <f t="shared" si="1"/>
        <v>0</v>
      </c>
    </row>
    <row r="58" spans="1:84" s="14" customFormat="1" ht="19.5" customHeight="1">
      <c r="A58" s="540">
        <v>4</v>
      </c>
      <c r="B58" s="541"/>
      <c r="C58" s="541"/>
      <c r="D58" s="542"/>
      <c r="E58" s="464" t="s">
        <v>157</v>
      </c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  <c r="Q58" s="465"/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6"/>
      <c r="AN58" s="555"/>
      <c r="AO58" s="556"/>
      <c r="AP58" s="556"/>
      <c r="AQ58" s="556"/>
      <c r="AR58" s="556"/>
      <c r="AS58" s="556"/>
      <c r="AT58" s="556"/>
      <c r="AU58" s="556"/>
      <c r="AV58" s="556"/>
      <c r="AW58" s="556"/>
      <c r="AX58" s="556"/>
      <c r="AY58" s="556"/>
      <c r="AZ58" s="556"/>
      <c r="BA58" s="556"/>
      <c r="BB58" s="556"/>
      <c r="BC58" s="557"/>
      <c r="BD58" s="558"/>
      <c r="BE58" s="559"/>
      <c r="BF58" s="559"/>
      <c r="BG58" s="559"/>
      <c r="BH58" s="559"/>
      <c r="BI58" s="559"/>
      <c r="BJ58" s="559"/>
      <c r="BK58" s="559"/>
      <c r="BL58" s="559"/>
      <c r="BM58" s="560"/>
      <c r="BN58" s="467">
        <f>1500+1100</f>
        <v>2600</v>
      </c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68"/>
      <c r="CB58" s="469"/>
      <c r="CC58" s="55">
        <f>1105+1100</f>
        <v>2205</v>
      </c>
      <c r="CD58" s="55">
        <f>1105+1100</f>
        <v>2205</v>
      </c>
      <c r="CE58" s="55">
        <f t="shared" si="0"/>
        <v>0</v>
      </c>
      <c r="CF58" s="183">
        <f t="shared" si="1"/>
        <v>395</v>
      </c>
    </row>
    <row r="59" spans="1:84" s="14" customFormat="1" ht="19.5" customHeight="1">
      <c r="A59" s="540">
        <v>5</v>
      </c>
      <c r="B59" s="541"/>
      <c r="C59" s="541"/>
      <c r="D59" s="542"/>
      <c r="E59" s="464" t="s">
        <v>124</v>
      </c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6"/>
      <c r="AN59" s="555"/>
      <c r="AO59" s="556"/>
      <c r="AP59" s="556"/>
      <c r="AQ59" s="556"/>
      <c r="AR59" s="556"/>
      <c r="AS59" s="556"/>
      <c r="AT59" s="556"/>
      <c r="AU59" s="556"/>
      <c r="AV59" s="556"/>
      <c r="AW59" s="556"/>
      <c r="AX59" s="556"/>
      <c r="AY59" s="556"/>
      <c r="AZ59" s="556"/>
      <c r="BA59" s="556"/>
      <c r="BB59" s="556"/>
      <c r="BC59" s="557"/>
      <c r="BD59" s="558"/>
      <c r="BE59" s="559"/>
      <c r="BF59" s="559"/>
      <c r="BG59" s="559"/>
      <c r="BH59" s="559"/>
      <c r="BI59" s="559"/>
      <c r="BJ59" s="559"/>
      <c r="BK59" s="559"/>
      <c r="BL59" s="559"/>
      <c r="BM59" s="560"/>
      <c r="BN59" s="467">
        <v>4108</v>
      </c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68"/>
      <c r="CB59" s="469"/>
      <c r="CC59" s="55"/>
      <c r="CD59" s="55"/>
      <c r="CE59" s="55">
        <f t="shared" si="0"/>
        <v>0</v>
      </c>
      <c r="CF59" s="183">
        <f t="shared" si="1"/>
        <v>4108</v>
      </c>
    </row>
    <row r="60" spans="1:84" s="14" customFormat="1" ht="19.5" customHeight="1">
      <c r="A60" s="540">
        <v>6</v>
      </c>
      <c r="B60" s="541"/>
      <c r="C60" s="541"/>
      <c r="D60" s="542"/>
      <c r="E60" s="464" t="s">
        <v>345</v>
      </c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465"/>
      <c r="AK60" s="465"/>
      <c r="AL60" s="465"/>
      <c r="AM60" s="466"/>
      <c r="AN60" s="555"/>
      <c r="AO60" s="556"/>
      <c r="AP60" s="556"/>
      <c r="AQ60" s="556"/>
      <c r="AR60" s="556"/>
      <c r="AS60" s="556"/>
      <c r="AT60" s="556"/>
      <c r="AU60" s="556"/>
      <c r="AV60" s="556"/>
      <c r="AW60" s="556"/>
      <c r="AX60" s="556"/>
      <c r="AY60" s="556"/>
      <c r="AZ60" s="556"/>
      <c r="BA60" s="556"/>
      <c r="BB60" s="556"/>
      <c r="BC60" s="557"/>
      <c r="BD60" s="558"/>
      <c r="BE60" s="559"/>
      <c r="BF60" s="559"/>
      <c r="BG60" s="559"/>
      <c r="BH60" s="559"/>
      <c r="BI60" s="559"/>
      <c r="BJ60" s="559"/>
      <c r="BK60" s="559"/>
      <c r="BL60" s="559"/>
      <c r="BM60" s="560"/>
      <c r="BN60" s="467">
        <f>35366.24-974.32</f>
        <v>34391.92</v>
      </c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68"/>
      <c r="CB60" s="469"/>
      <c r="CC60" s="55">
        <v>25000</v>
      </c>
      <c r="CD60" s="55">
        <v>25000</v>
      </c>
      <c r="CE60" s="55">
        <f t="shared" si="0"/>
        <v>0</v>
      </c>
      <c r="CF60" s="183">
        <f t="shared" si="1"/>
        <v>9391.919999999998</v>
      </c>
    </row>
    <row r="61" spans="1:84" s="14" customFormat="1" ht="19.5" customHeight="1">
      <c r="A61" s="540">
        <v>7</v>
      </c>
      <c r="B61" s="541"/>
      <c r="C61" s="541"/>
      <c r="D61" s="542"/>
      <c r="E61" s="464" t="s">
        <v>156</v>
      </c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5"/>
      <c r="AL61" s="465"/>
      <c r="AM61" s="466"/>
      <c r="AN61" s="555"/>
      <c r="AO61" s="556"/>
      <c r="AP61" s="556"/>
      <c r="AQ61" s="556"/>
      <c r="AR61" s="556"/>
      <c r="AS61" s="556"/>
      <c r="AT61" s="556"/>
      <c r="AU61" s="556"/>
      <c r="AV61" s="556"/>
      <c r="AW61" s="556"/>
      <c r="AX61" s="556"/>
      <c r="AY61" s="556"/>
      <c r="AZ61" s="556"/>
      <c r="BA61" s="556"/>
      <c r="BB61" s="556"/>
      <c r="BC61" s="557"/>
      <c r="BD61" s="558"/>
      <c r="BE61" s="559"/>
      <c r="BF61" s="559"/>
      <c r="BG61" s="559"/>
      <c r="BH61" s="559"/>
      <c r="BI61" s="559"/>
      <c r="BJ61" s="559"/>
      <c r="BK61" s="559"/>
      <c r="BL61" s="559"/>
      <c r="BM61" s="560"/>
      <c r="BN61" s="467">
        <v>21736</v>
      </c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68"/>
      <c r="CB61" s="469"/>
      <c r="CC61" s="55">
        <v>15000</v>
      </c>
      <c r="CD61" s="55">
        <f>1500+1500+1500</f>
        <v>4500</v>
      </c>
      <c r="CE61" s="55">
        <f t="shared" si="0"/>
        <v>10500</v>
      </c>
      <c r="CF61" s="183">
        <f t="shared" si="1"/>
        <v>6736</v>
      </c>
    </row>
    <row r="62" spans="1:84" s="14" customFormat="1" ht="19.5" customHeight="1">
      <c r="A62" s="540">
        <v>8</v>
      </c>
      <c r="B62" s="541"/>
      <c r="C62" s="541"/>
      <c r="D62" s="542"/>
      <c r="E62" s="464" t="s">
        <v>125</v>
      </c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  <c r="AE62" s="465"/>
      <c r="AF62" s="465"/>
      <c r="AG62" s="465"/>
      <c r="AH62" s="465"/>
      <c r="AI62" s="465"/>
      <c r="AJ62" s="465"/>
      <c r="AK62" s="465"/>
      <c r="AL62" s="465"/>
      <c r="AM62" s="466"/>
      <c r="AN62" s="555"/>
      <c r="AO62" s="556"/>
      <c r="AP62" s="556"/>
      <c r="AQ62" s="556"/>
      <c r="AR62" s="556"/>
      <c r="AS62" s="556"/>
      <c r="AT62" s="556"/>
      <c r="AU62" s="556"/>
      <c r="AV62" s="556"/>
      <c r="AW62" s="556"/>
      <c r="AX62" s="556"/>
      <c r="AY62" s="556"/>
      <c r="AZ62" s="556"/>
      <c r="BA62" s="556"/>
      <c r="BB62" s="556"/>
      <c r="BC62" s="557"/>
      <c r="BD62" s="558"/>
      <c r="BE62" s="559"/>
      <c r="BF62" s="559"/>
      <c r="BG62" s="559"/>
      <c r="BH62" s="559"/>
      <c r="BI62" s="559"/>
      <c r="BJ62" s="559"/>
      <c r="BK62" s="559"/>
      <c r="BL62" s="559"/>
      <c r="BM62" s="560"/>
      <c r="BN62" s="467">
        <f>65520-872.23</f>
        <v>64647.77</v>
      </c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68"/>
      <c r="CB62" s="469"/>
      <c r="CC62" s="55">
        <v>63000</v>
      </c>
      <c r="CD62" s="55">
        <f>5250+5250+5250+5250+5250+5250+5250+5250</f>
        <v>42000</v>
      </c>
      <c r="CE62" s="55">
        <f t="shared" si="0"/>
        <v>21000</v>
      </c>
      <c r="CF62" s="183">
        <f t="shared" si="1"/>
        <v>1647.7699999999968</v>
      </c>
    </row>
    <row r="63" spans="1:84" s="14" customFormat="1" ht="19.5" customHeight="1">
      <c r="A63" s="540">
        <v>9</v>
      </c>
      <c r="B63" s="541"/>
      <c r="C63" s="541"/>
      <c r="D63" s="542"/>
      <c r="E63" s="464" t="s">
        <v>389</v>
      </c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  <c r="Q63" s="465"/>
      <c r="R63" s="465"/>
      <c r="S63" s="465"/>
      <c r="T63" s="465"/>
      <c r="U63" s="465"/>
      <c r="V63" s="465"/>
      <c r="W63" s="465"/>
      <c r="X63" s="465"/>
      <c r="Y63" s="465"/>
      <c r="Z63" s="465"/>
      <c r="AA63" s="465"/>
      <c r="AB63" s="465"/>
      <c r="AC63" s="465"/>
      <c r="AD63" s="465"/>
      <c r="AE63" s="465"/>
      <c r="AF63" s="465"/>
      <c r="AG63" s="465"/>
      <c r="AH63" s="465"/>
      <c r="AI63" s="465"/>
      <c r="AJ63" s="465"/>
      <c r="AK63" s="465"/>
      <c r="AL63" s="465"/>
      <c r="AM63" s="466"/>
      <c r="AN63" s="555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7"/>
      <c r="BD63" s="558"/>
      <c r="BE63" s="559"/>
      <c r="BF63" s="559"/>
      <c r="BG63" s="559"/>
      <c r="BH63" s="559"/>
      <c r="BI63" s="559"/>
      <c r="BJ63" s="559"/>
      <c r="BK63" s="559"/>
      <c r="BL63" s="559"/>
      <c r="BM63" s="560"/>
      <c r="BN63" s="467">
        <v>4958.4</v>
      </c>
      <c r="BO63" s="468"/>
      <c r="BP63" s="468"/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9"/>
      <c r="CC63" s="55">
        <v>4958.4</v>
      </c>
      <c r="CD63" s="55">
        <f>413.2+413.2+413.2+413.2+413.2+413.2+413.2+413.2</f>
        <v>3305.5999999999995</v>
      </c>
      <c r="CE63" s="55">
        <f t="shared" si="0"/>
        <v>1652.8000000000002</v>
      </c>
      <c r="CF63" s="183">
        <f t="shared" si="1"/>
        <v>0</v>
      </c>
    </row>
    <row r="64" spans="1:84" s="14" customFormat="1" ht="19.5" customHeight="1">
      <c r="A64" s="540">
        <v>10</v>
      </c>
      <c r="B64" s="541"/>
      <c r="C64" s="541"/>
      <c r="D64" s="542"/>
      <c r="E64" s="464" t="s">
        <v>155</v>
      </c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465"/>
      <c r="AC64" s="465"/>
      <c r="AD64" s="465"/>
      <c r="AE64" s="465"/>
      <c r="AF64" s="465"/>
      <c r="AG64" s="465"/>
      <c r="AH64" s="465"/>
      <c r="AI64" s="465"/>
      <c r="AJ64" s="465"/>
      <c r="AK64" s="465"/>
      <c r="AL64" s="465"/>
      <c r="AM64" s="466"/>
      <c r="AN64" s="555"/>
      <c r="AO64" s="556"/>
      <c r="AP64" s="556"/>
      <c r="AQ64" s="556"/>
      <c r="AR64" s="556"/>
      <c r="AS64" s="556"/>
      <c r="AT64" s="556"/>
      <c r="AU64" s="556"/>
      <c r="AV64" s="556"/>
      <c r="AW64" s="556"/>
      <c r="AX64" s="556"/>
      <c r="AY64" s="556"/>
      <c r="AZ64" s="556"/>
      <c r="BA64" s="556"/>
      <c r="BB64" s="556"/>
      <c r="BC64" s="557"/>
      <c r="BD64" s="558"/>
      <c r="BE64" s="559"/>
      <c r="BF64" s="559"/>
      <c r="BG64" s="559"/>
      <c r="BH64" s="559"/>
      <c r="BI64" s="559"/>
      <c r="BJ64" s="559"/>
      <c r="BK64" s="559"/>
      <c r="BL64" s="559"/>
      <c r="BM64" s="560"/>
      <c r="BN64" s="467">
        <f>31200-4000-1100</f>
        <v>26100</v>
      </c>
      <c r="BO64" s="468"/>
      <c r="BP64" s="468"/>
      <c r="BQ64" s="468"/>
      <c r="BR64" s="468"/>
      <c r="BS64" s="468"/>
      <c r="BT64" s="468"/>
      <c r="BU64" s="468"/>
      <c r="BV64" s="468"/>
      <c r="BW64" s="468"/>
      <c r="BX64" s="468"/>
      <c r="BY64" s="468"/>
      <c r="BZ64" s="468"/>
      <c r="CA64" s="468"/>
      <c r="CB64" s="469"/>
      <c r="CC64" s="55"/>
      <c r="CD64" s="55"/>
      <c r="CE64" s="55">
        <f t="shared" si="0"/>
        <v>0</v>
      </c>
      <c r="CF64" s="183">
        <f t="shared" si="1"/>
        <v>26100</v>
      </c>
    </row>
    <row r="65" spans="1:84" s="14" customFormat="1" ht="19.5" customHeight="1">
      <c r="A65" s="540">
        <v>11</v>
      </c>
      <c r="B65" s="541"/>
      <c r="C65" s="541"/>
      <c r="D65" s="542"/>
      <c r="E65" s="464" t="s">
        <v>126</v>
      </c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465"/>
      <c r="AI65" s="465"/>
      <c r="AJ65" s="465"/>
      <c r="AK65" s="465"/>
      <c r="AL65" s="465"/>
      <c r="AM65" s="466"/>
      <c r="AN65" s="555"/>
      <c r="AO65" s="556"/>
      <c r="AP65" s="556"/>
      <c r="AQ65" s="556"/>
      <c r="AR65" s="556"/>
      <c r="AS65" s="556"/>
      <c r="AT65" s="556"/>
      <c r="AU65" s="556"/>
      <c r="AV65" s="556"/>
      <c r="AW65" s="556"/>
      <c r="AX65" s="556"/>
      <c r="AY65" s="556"/>
      <c r="AZ65" s="556"/>
      <c r="BA65" s="556"/>
      <c r="BB65" s="556"/>
      <c r="BC65" s="557"/>
      <c r="BD65" s="558"/>
      <c r="BE65" s="559"/>
      <c r="BF65" s="559"/>
      <c r="BG65" s="559"/>
      <c r="BH65" s="559"/>
      <c r="BI65" s="559"/>
      <c r="BJ65" s="559"/>
      <c r="BK65" s="559"/>
      <c r="BL65" s="559"/>
      <c r="BM65" s="560"/>
      <c r="BN65" s="467">
        <f>39948.63-6421.5-1200-32327.13</f>
        <v>0</v>
      </c>
      <c r="BO65" s="468"/>
      <c r="BP65" s="468"/>
      <c r="BQ65" s="468"/>
      <c r="BR65" s="468"/>
      <c r="BS65" s="468"/>
      <c r="BT65" s="468"/>
      <c r="BU65" s="468"/>
      <c r="BV65" s="468"/>
      <c r="BW65" s="468"/>
      <c r="BX65" s="468"/>
      <c r="BY65" s="468"/>
      <c r="BZ65" s="468"/>
      <c r="CA65" s="468"/>
      <c r="CB65" s="469"/>
      <c r="CC65" s="55"/>
      <c r="CD65" s="55"/>
      <c r="CE65" s="55">
        <f t="shared" si="0"/>
        <v>0</v>
      </c>
      <c r="CF65" s="183">
        <f t="shared" si="1"/>
        <v>0</v>
      </c>
    </row>
    <row r="66" spans="1:84" s="14" customFormat="1" ht="19.5" customHeight="1">
      <c r="A66" s="540">
        <v>12</v>
      </c>
      <c r="B66" s="541"/>
      <c r="C66" s="541"/>
      <c r="D66" s="542"/>
      <c r="E66" s="464" t="s">
        <v>127</v>
      </c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6"/>
      <c r="AN66" s="555"/>
      <c r="AO66" s="556"/>
      <c r="AP66" s="556"/>
      <c r="AQ66" s="556"/>
      <c r="AR66" s="556"/>
      <c r="AS66" s="556"/>
      <c r="AT66" s="556"/>
      <c r="AU66" s="556"/>
      <c r="AV66" s="556"/>
      <c r="AW66" s="556"/>
      <c r="AX66" s="556"/>
      <c r="AY66" s="556"/>
      <c r="AZ66" s="556"/>
      <c r="BA66" s="556"/>
      <c r="BB66" s="556"/>
      <c r="BC66" s="557"/>
      <c r="BD66" s="558"/>
      <c r="BE66" s="559"/>
      <c r="BF66" s="559"/>
      <c r="BG66" s="559"/>
      <c r="BH66" s="559"/>
      <c r="BI66" s="559"/>
      <c r="BJ66" s="559"/>
      <c r="BK66" s="559"/>
      <c r="BL66" s="559"/>
      <c r="BM66" s="560"/>
      <c r="BN66" s="467">
        <v>10920</v>
      </c>
      <c r="BO66" s="468"/>
      <c r="BP66" s="468"/>
      <c r="BQ66" s="468"/>
      <c r="BR66" s="468"/>
      <c r="BS66" s="468"/>
      <c r="BT66" s="468"/>
      <c r="BU66" s="468"/>
      <c r="BV66" s="468"/>
      <c r="BW66" s="468"/>
      <c r="BX66" s="468"/>
      <c r="BY66" s="468"/>
      <c r="BZ66" s="468"/>
      <c r="CA66" s="468"/>
      <c r="CB66" s="469"/>
      <c r="CC66" s="55"/>
      <c r="CD66" s="55"/>
      <c r="CE66" s="55">
        <f t="shared" si="0"/>
        <v>0</v>
      </c>
      <c r="CF66" s="183">
        <f t="shared" si="1"/>
        <v>10920</v>
      </c>
    </row>
    <row r="67" spans="1:84" s="14" customFormat="1" ht="19.5" customHeight="1">
      <c r="A67" s="540">
        <v>13</v>
      </c>
      <c r="B67" s="541"/>
      <c r="C67" s="541"/>
      <c r="D67" s="542"/>
      <c r="E67" s="464" t="s">
        <v>415</v>
      </c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  <c r="Q67" s="465"/>
      <c r="R67" s="465"/>
      <c r="S67" s="465"/>
      <c r="T67" s="465"/>
      <c r="U67" s="465"/>
      <c r="V67" s="465"/>
      <c r="W67" s="465"/>
      <c r="X67" s="465"/>
      <c r="Y67" s="465"/>
      <c r="Z67" s="465"/>
      <c r="AA67" s="465"/>
      <c r="AB67" s="465"/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6"/>
      <c r="AN67" s="555"/>
      <c r="AO67" s="556"/>
      <c r="AP67" s="556"/>
      <c r="AQ67" s="556"/>
      <c r="AR67" s="556"/>
      <c r="AS67" s="556"/>
      <c r="AT67" s="556"/>
      <c r="AU67" s="556"/>
      <c r="AV67" s="556"/>
      <c r="AW67" s="556"/>
      <c r="AX67" s="556"/>
      <c r="AY67" s="556"/>
      <c r="AZ67" s="556"/>
      <c r="BA67" s="556"/>
      <c r="BB67" s="556"/>
      <c r="BC67" s="557"/>
      <c r="BD67" s="558"/>
      <c r="BE67" s="559"/>
      <c r="BF67" s="559"/>
      <c r="BG67" s="559"/>
      <c r="BH67" s="559"/>
      <c r="BI67" s="559"/>
      <c r="BJ67" s="559"/>
      <c r="BK67" s="559"/>
      <c r="BL67" s="559"/>
      <c r="BM67" s="560"/>
      <c r="BN67" s="467">
        <f>65520-2628</f>
        <v>62892</v>
      </c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68"/>
      <c r="CB67" s="469"/>
      <c r="CC67" s="55">
        <v>62892</v>
      </c>
      <c r="CD67" s="55">
        <f>5241+5241+5241+5241+5241+5241+5241+5241</f>
        <v>41928</v>
      </c>
      <c r="CE67" s="55">
        <f t="shared" si="0"/>
        <v>20964</v>
      </c>
      <c r="CF67" s="183">
        <f t="shared" si="1"/>
        <v>0</v>
      </c>
    </row>
    <row r="68" spans="1:84" s="14" customFormat="1" ht="19.5" customHeight="1">
      <c r="A68" s="540">
        <v>14</v>
      </c>
      <c r="B68" s="541"/>
      <c r="C68" s="541"/>
      <c r="D68" s="542"/>
      <c r="E68" s="464" t="s">
        <v>424</v>
      </c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5"/>
      <c r="AL68" s="465"/>
      <c r="AM68" s="466"/>
      <c r="AN68" s="473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  <c r="BC68" s="475"/>
      <c r="BD68" s="476"/>
      <c r="BE68" s="477"/>
      <c r="BF68" s="477"/>
      <c r="BG68" s="477"/>
      <c r="BH68" s="477"/>
      <c r="BI68" s="477"/>
      <c r="BJ68" s="477"/>
      <c r="BK68" s="477"/>
      <c r="BL68" s="477"/>
      <c r="BM68" s="478"/>
      <c r="BN68" s="485">
        <v>13104</v>
      </c>
      <c r="BO68" s="486"/>
      <c r="BP68" s="486"/>
      <c r="BQ68" s="486"/>
      <c r="BR68" s="486"/>
      <c r="BS68" s="486"/>
      <c r="BT68" s="486"/>
      <c r="BU68" s="486"/>
      <c r="BV68" s="486"/>
      <c r="BW68" s="486"/>
      <c r="BX68" s="486"/>
      <c r="BY68" s="486"/>
      <c r="BZ68" s="486"/>
      <c r="CA68" s="486"/>
      <c r="CB68" s="487"/>
      <c r="CC68" s="55">
        <v>12000</v>
      </c>
      <c r="CD68" s="55">
        <v>12000</v>
      </c>
      <c r="CE68" s="55">
        <f t="shared" si="0"/>
        <v>0</v>
      </c>
      <c r="CF68" s="183">
        <f t="shared" si="1"/>
        <v>1104</v>
      </c>
    </row>
    <row r="69" spans="1:84" s="121" customFormat="1" ht="19.5" customHeight="1">
      <c r="A69" s="540">
        <v>15</v>
      </c>
      <c r="B69" s="541"/>
      <c r="C69" s="541"/>
      <c r="D69" s="542"/>
      <c r="E69" s="537" t="s">
        <v>375</v>
      </c>
      <c r="F69" s="538"/>
      <c r="G69" s="538"/>
      <c r="H69" s="538"/>
      <c r="I69" s="538"/>
      <c r="J69" s="538"/>
      <c r="K69" s="538"/>
      <c r="L69" s="538"/>
      <c r="M69" s="538"/>
      <c r="N69" s="538"/>
      <c r="O69" s="538"/>
      <c r="P69" s="538"/>
      <c r="Q69" s="538"/>
      <c r="R69" s="538"/>
      <c r="S69" s="538"/>
      <c r="T69" s="538"/>
      <c r="U69" s="538"/>
      <c r="V69" s="538"/>
      <c r="W69" s="538"/>
      <c r="X69" s="538"/>
      <c r="Y69" s="538"/>
      <c r="Z69" s="538"/>
      <c r="AA69" s="538"/>
      <c r="AB69" s="538"/>
      <c r="AC69" s="538"/>
      <c r="AD69" s="538"/>
      <c r="AE69" s="538"/>
      <c r="AF69" s="538"/>
      <c r="AG69" s="538"/>
      <c r="AH69" s="538"/>
      <c r="AI69" s="538"/>
      <c r="AJ69" s="538"/>
      <c r="AK69" s="538"/>
      <c r="AL69" s="538"/>
      <c r="AM69" s="539"/>
      <c r="AN69" s="534"/>
      <c r="AO69" s="535"/>
      <c r="AP69" s="535"/>
      <c r="AQ69" s="535"/>
      <c r="AR69" s="535"/>
      <c r="AS69" s="535"/>
      <c r="AT69" s="535"/>
      <c r="AU69" s="535"/>
      <c r="AV69" s="535"/>
      <c r="AW69" s="535"/>
      <c r="AX69" s="535"/>
      <c r="AY69" s="535"/>
      <c r="AZ69" s="535"/>
      <c r="BA69" s="535"/>
      <c r="BB69" s="535"/>
      <c r="BC69" s="536"/>
      <c r="BD69" s="573"/>
      <c r="BE69" s="574"/>
      <c r="BF69" s="574"/>
      <c r="BG69" s="574"/>
      <c r="BH69" s="574"/>
      <c r="BI69" s="574"/>
      <c r="BJ69" s="574"/>
      <c r="BK69" s="574"/>
      <c r="BL69" s="574"/>
      <c r="BM69" s="575"/>
      <c r="BN69" s="596">
        <v>14560</v>
      </c>
      <c r="BO69" s="597"/>
      <c r="BP69" s="597"/>
      <c r="BQ69" s="597"/>
      <c r="BR69" s="597"/>
      <c r="BS69" s="597"/>
      <c r="BT69" s="597"/>
      <c r="BU69" s="597"/>
      <c r="BV69" s="597"/>
      <c r="BW69" s="597"/>
      <c r="BX69" s="597"/>
      <c r="BY69" s="597"/>
      <c r="BZ69" s="597"/>
      <c r="CA69" s="597"/>
      <c r="CB69" s="598"/>
      <c r="CC69" s="122"/>
      <c r="CD69" s="122"/>
      <c r="CE69" s="55">
        <f t="shared" si="0"/>
        <v>0</v>
      </c>
      <c r="CF69" s="183">
        <f t="shared" si="1"/>
        <v>14560</v>
      </c>
    </row>
    <row r="70" spans="1:84" s="121" customFormat="1" ht="19.5" customHeight="1">
      <c r="A70" s="576">
        <v>16</v>
      </c>
      <c r="B70" s="577"/>
      <c r="C70" s="577"/>
      <c r="D70" s="578"/>
      <c r="E70" s="549" t="s">
        <v>416</v>
      </c>
      <c r="F70" s="550"/>
      <c r="G70" s="550"/>
      <c r="H70" s="550"/>
      <c r="I70" s="550"/>
      <c r="J70" s="550"/>
      <c r="K70" s="550"/>
      <c r="L70" s="550"/>
      <c r="M70" s="550"/>
      <c r="N70" s="550"/>
      <c r="O70" s="550"/>
      <c r="P70" s="550"/>
      <c r="Q70" s="550"/>
      <c r="R70" s="550"/>
      <c r="S70" s="550"/>
      <c r="T70" s="550"/>
      <c r="U70" s="550"/>
      <c r="V70" s="550"/>
      <c r="W70" s="550"/>
      <c r="X70" s="550"/>
      <c r="Y70" s="550"/>
      <c r="Z70" s="550"/>
      <c r="AA70" s="550"/>
      <c r="AB70" s="550"/>
      <c r="AC70" s="550"/>
      <c r="AD70" s="550"/>
      <c r="AE70" s="550"/>
      <c r="AF70" s="550"/>
      <c r="AG70" s="550"/>
      <c r="AH70" s="550"/>
      <c r="AI70" s="550"/>
      <c r="AJ70" s="550"/>
      <c r="AK70" s="550"/>
      <c r="AL70" s="550"/>
      <c r="AM70" s="551"/>
      <c r="AN70" s="602"/>
      <c r="AO70" s="603"/>
      <c r="AP70" s="603"/>
      <c r="AQ70" s="603"/>
      <c r="AR70" s="603"/>
      <c r="AS70" s="603"/>
      <c r="AT70" s="603"/>
      <c r="AU70" s="603"/>
      <c r="AV70" s="603"/>
      <c r="AW70" s="603"/>
      <c r="AX70" s="603"/>
      <c r="AY70" s="603"/>
      <c r="AZ70" s="603"/>
      <c r="BA70" s="603"/>
      <c r="BB70" s="603"/>
      <c r="BC70" s="604"/>
      <c r="BD70" s="602"/>
      <c r="BE70" s="603"/>
      <c r="BF70" s="603"/>
      <c r="BG70" s="603"/>
      <c r="BH70" s="603"/>
      <c r="BI70" s="603"/>
      <c r="BJ70" s="603"/>
      <c r="BK70" s="603"/>
      <c r="BL70" s="603"/>
      <c r="BM70" s="604"/>
      <c r="BN70" s="552">
        <v>5000</v>
      </c>
      <c r="BO70" s="553"/>
      <c r="BP70" s="553"/>
      <c r="BQ70" s="553"/>
      <c r="BR70" s="553"/>
      <c r="BS70" s="553"/>
      <c r="BT70" s="553"/>
      <c r="BU70" s="553"/>
      <c r="BV70" s="553"/>
      <c r="BW70" s="553"/>
      <c r="BX70" s="553"/>
      <c r="BY70" s="553"/>
      <c r="BZ70" s="553"/>
      <c r="CA70" s="553"/>
      <c r="CB70" s="554"/>
      <c r="CC70" s="122">
        <v>5000</v>
      </c>
      <c r="CD70" s="122">
        <f>2500+2500</f>
        <v>5000</v>
      </c>
      <c r="CE70" s="55"/>
      <c r="CF70" s="183">
        <f t="shared" si="1"/>
        <v>0</v>
      </c>
    </row>
    <row r="71" spans="1:84" s="121" customFormat="1" ht="19.5" customHeight="1">
      <c r="A71" s="540">
        <v>17</v>
      </c>
      <c r="B71" s="541"/>
      <c r="C71" s="541"/>
      <c r="D71" s="542"/>
      <c r="E71" s="537" t="s">
        <v>380</v>
      </c>
      <c r="F71" s="538"/>
      <c r="G71" s="538"/>
      <c r="H71" s="538"/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8"/>
      <c r="U71" s="538"/>
      <c r="V71" s="538"/>
      <c r="W71" s="538"/>
      <c r="X71" s="538"/>
      <c r="Y71" s="538"/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8"/>
      <c r="AK71" s="538"/>
      <c r="AL71" s="538"/>
      <c r="AM71" s="539"/>
      <c r="AN71" s="534"/>
      <c r="AO71" s="535"/>
      <c r="AP71" s="535"/>
      <c r="AQ71" s="535"/>
      <c r="AR71" s="535"/>
      <c r="AS71" s="535"/>
      <c r="AT71" s="535"/>
      <c r="AU71" s="535"/>
      <c r="AV71" s="535"/>
      <c r="AW71" s="535"/>
      <c r="AX71" s="535"/>
      <c r="AY71" s="535"/>
      <c r="AZ71" s="535"/>
      <c r="BA71" s="535"/>
      <c r="BB71" s="535"/>
      <c r="BC71" s="536"/>
      <c r="BD71" s="573"/>
      <c r="BE71" s="574"/>
      <c r="BF71" s="574"/>
      <c r="BG71" s="574"/>
      <c r="BH71" s="574"/>
      <c r="BI71" s="574"/>
      <c r="BJ71" s="574"/>
      <c r="BK71" s="574"/>
      <c r="BL71" s="574"/>
      <c r="BM71" s="575"/>
      <c r="BN71" s="596">
        <v>6421.5</v>
      </c>
      <c r="BO71" s="597"/>
      <c r="BP71" s="597"/>
      <c r="BQ71" s="597"/>
      <c r="BR71" s="597"/>
      <c r="BS71" s="597"/>
      <c r="BT71" s="597"/>
      <c r="BU71" s="597"/>
      <c r="BV71" s="597"/>
      <c r="BW71" s="597"/>
      <c r="BX71" s="597"/>
      <c r="BY71" s="597"/>
      <c r="BZ71" s="597"/>
      <c r="CA71" s="597"/>
      <c r="CB71" s="598"/>
      <c r="CC71" s="122">
        <v>6421.5</v>
      </c>
      <c r="CD71" s="122">
        <v>6421.5</v>
      </c>
      <c r="CE71" s="55">
        <f t="shared" si="0"/>
        <v>0</v>
      </c>
      <c r="CF71" s="183">
        <f t="shared" si="1"/>
        <v>0</v>
      </c>
    </row>
    <row r="72" spans="1:85" s="155" customFormat="1" ht="12.75">
      <c r="A72" s="443"/>
      <c r="B72" s="444"/>
      <c r="C72" s="444"/>
      <c r="D72" s="445"/>
      <c r="E72" s="432" t="s">
        <v>10</v>
      </c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4"/>
      <c r="AN72" s="360" t="s">
        <v>11</v>
      </c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2"/>
      <c r="BD72" s="429" t="s">
        <v>11</v>
      </c>
      <c r="BE72" s="430"/>
      <c r="BF72" s="430"/>
      <c r="BG72" s="430"/>
      <c r="BH72" s="430"/>
      <c r="BI72" s="430"/>
      <c r="BJ72" s="430"/>
      <c r="BK72" s="430"/>
      <c r="BL72" s="430"/>
      <c r="BM72" s="431"/>
      <c r="BN72" s="372">
        <f>SUM(BN55:CB71)</f>
        <v>307435.58999999997</v>
      </c>
      <c r="BO72" s="373"/>
      <c r="BP72" s="373"/>
      <c r="BQ72" s="373"/>
      <c r="BR72" s="373"/>
      <c r="BS72" s="373"/>
      <c r="BT72" s="373"/>
      <c r="BU72" s="373"/>
      <c r="BV72" s="373"/>
      <c r="BW72" s="373"/>
      <c r="BX72" s="373"/>
      <c r="BY72" s="373"/>
      <c r="BZ72" s="373"/>
      <c r="CA72" s="373"/>
      <c r="CB72" s="373"/>
      <c r="CC72" s="197"/>
      <c r="CD72" s="197"/>
      <c r="CE72" s="197"/>
      <c r="CF72" s="237"/>
      <c r="CG72" s="154"/>
    </row>
    <row r="73" spans="1:85" s="3" customFormat="1" ht="15.75">
      <c r="A73" s="363" t="s">
        <v>396</v>
      </c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191"/>
      <c r="CD73" s="240"/>
      <c r="CE73" s="240"/>
      <c r="CF73" s="241"/>
      <c r="CG73" s="241"/>
    </row>
    <row r="74" spans="1:85" s="6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242"/>
      <c r="CD74" s="243"/>
      <c r="CE74" s="243"/>
      <c r="CF74" s="237"/>
      <c r="CG74" s="244"/>
    </row>
    <row r="75" spans="1:85" ht="12.75">
      <c r="A75" s="364" t="s">
        <v>5</v>
      </c>
      <c r="B75" s="365"/>
      <c r="C75" s="365"/>
      <c r="D75" s="368"/>
      <c r="E75" s="364" t="s">
        <v>13</v>
      </c>
      <c r="F75" s="365"/>
      <c r="G75" s="365"/>
      <c r="H75" s="365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8"/>
      <c r="BD75" s="364" t="s">
        <v>18</v>
      </c>
      <c r="BE75" s="365"/>
      <c r="BF75" s="365"/>
      <c r="BG75" s="365"/>
      <c r="BH75" s="365"/>
      <c r="BI75" s="365"/>
      <c r="BJ75" s="365"/>
      <c r="BK75" s="365"/>
      <c r="BL75" s="365"/>
      <c r="BM75" s="368"/>
      <c r="BN75" s="364" t="s">
        <v>83</v>
      </c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192"/>
      <c r="CD75" s="236"/>
      <c r="CE75" s="236"/>
      <c r="CF75" s="237"/>
      <c r="CG75" s="235"/>
    </row>
    <row r="76" spans="1:85" ht="12.75">
      <c r="A76" s="366" t="s">
        <v>6</v>
      </c>
      <c r="B76" s="367"/>
      <c r="C76" s="367"/>
      <c r="D76" s="369"/>
      <c r="E76" s="366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9"/>
      <c r="BD76" s="366" t="s">
        <v>104</v>
      </c>
      <c r="BE76" s="367"/>
      <c r="BF76" s="367"/>
      <c r="BG76" s="367"/>
      <c r="BH76" s="367"/>
      <c r="BI76" s="367"/>
      <c r="BJ76" s="367"/>
      <c r="BK76" s="367"/>
      <c r="BL76" s="367"/>
      <c r="BM76" s="369"/>
      <c r="BN76" s="366" t="s">
        <v>105</v>
      </c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192"/>
      <c r="CD76" s="236"/>
      <c r="CE76" s="236"/>
      <c r="CF76" s="237"/>
      <c r="CG76" s="235"/>
    </row>
    <row r="77" spans="1:84" ht="15.75">
      <c r="A77" s="396">
        <v>1</v>
      </c>
      <c r="B77" s="397"/>
      <c r="C77" s="397"/>
      <c r="D77" s="398"/>
      <c r="E77" s="396">
        <v>2</v>
      </c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7"/>
      <c r="BB77" s="397"/>
      <c r="BC77" s="398"/>
      <c r="BD77" s="396">
        <v>3</v>
      </c>
      <c r="BE77" s="397"/>
      <c r="BF77" s="397"/>
      <c r="BG77" s="397"/>
      <c r="BH77" s="397"/>
      <c r="BI77" s="397"/>
      <c r="BJ77" s="397"/>
      <c r="BK77" s="397"/>
      <c r="BL77" s="397"/>
      <c r="BM77" s="398"/>
      <c r="BN77" s="396">
        <v>4</v>
      </c>
      <c r="BO77" s="397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8"/>
      <c r="CC77" s="57" t="s">
        <v>153</v>
      </c>
      <c r="CD77" s="57" t="s">
        <v>211</v>
      </c>
      <c r="CE77" s="57" t="s">
        <v>413</v>
      </c>
      <c r="CF77" s="231" t="s">
        <v>390</v>
      </c>
    </row>
    <row r="78" spans="1:84" s="14" customFormat="1" ht="21" customHeight="1">
      <c r="A78" s="540">
        <v>1</v>
      </c>
      <c r="B78" s="541"/>
      <c r="C78" s="541"/>
      <c r="D78" s="542"/>
      <c r="E78" s="510" t="s">
        <v>128</v>
      </c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  <c r="Q78" s="511"/>
      <c r="R78" s="511"/>
      <c r="S78" s="511"/>
      <c r="T78" s="511"/>
      <c r="U78" s="511"/>
      <c r="V78" s="511"/>
      <c r="W78" s="511"/>
      <c r="X78" s="511"/>
      <c r="Y78" s="511"/>
      <c r="Z78" s="511"/>
      <c r="AA78" s="511"/>
      <c r="AB78" s="511"/>
      <c r="AC78" s="511"/>
      <c r="AD78" s="511"/>
      <c r="AE78" s="511"/>
      <c r="AF78" s="511"/>
      <c r="AG78" s="511"/>
      <c r="AH78" s="511"/>
      <c r="AI78" s="511"/>
      <c r="AJ78" s="511"/>
      <c r="AK78" s="511"/>
      <c r="AL78" s="511"/>
      <c r="AM78" s="511"/>
      <c r="AN78" s="511"/>
      <c r="AO78" s="511"/>
      <c r="AP78" s="511"/>
      <c r="AQ78" s="511"/>
      <c r="AR78" s="511"/>
      <c r="AS78" s="511"/>
      <c r="AT78" s="511"/>
      <c r="AU78" s="511"/>
      <c r="AV78" s="511"/>
      <c r="AW78" s="511"/>
      <c r="AX78" s="511"/>
      <c r="AY78" s="511"/>
      <c r="AZ78" s="511"/>
      <c r="BA78" s="511"/>
      <c r="BB78" s="511"/>
      <c r="BC78" s="512"/>
      <c r="BD78" s="507"/>
      <c r="BE78" s="508"/>
      <c r="BF78" s="508"/>
      <c r="BG78" s="508"/>
      <c r="BH78" s="508"/>
      <c r="BI78" s="508"/>
      <c r="BJ78" s="508"/>
      <c r="BK78" s="508"/>
      <c r="BL78" s="508"/>
      <c r="BM78" s="509"/>
      <c r="BN78" s="467">
        <f>32760-4958.4-4172.64</f>
        <v>23628.96</v>
      </c>
      <c r="BO78" s="468"/>
      <c r="BP78" s="468"/>
      <c r="BQ78" s="468"/>
      <c r="BR78" s="468"/>
      <c r="BS78" s="468"/>
      <c r="BT78" s="468"/>
      <c r="BU78" s="468"/>
      <c r="BV78" s="468"/>
      <c r="BW78" s="468"/>
      <c r="BX78" s="468"/>
      <c r="BY78" s="468"/>
      <c r="BZ78" s="468"/>
      <c r="CA78" s="468"/>
      <c r="CB78" s="469"/>
      <c r="CC78" s="55">
        <v>23628.96</v>
      </c>
      <c r="CD78" s="55">
        <f>1969.08+1969.08+1969.08+1969.08+1969.08+1969.08+1969.08+1969.08</f>
        <v>15752.64</v>
      </c>
      <c r="CE78" s="55">
        <f>CC78-CD78</f>
        <v>7876.32</v>
      </c>
      <c r="CF78" s="183">
        <f>BN78-CC78</f>
        <v>0</v>
      </c>
    </row>
    <row r="79" spans="1:84" s="14" customFormat="1" ht="21" customHeight="1">
      <c r="A79" s="540">
        <v>2</v>
      </c>
      <c r="B79" s="541"/>
      <c r="C79" s="541"/>
      <c r="D79" s="542"/>
      <c r="E79" s="510" t="s">
        <v>425</v>
      </c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1"/>
      <c r="Z79" s="511"/>
      <c r="AA79" s="511"/>
      <c r="AB79" s="511"/>
      <c r="AC79" s="511"/>
      <c r="AD79" s="511"/>
      <c r="AE79" s="511"/>
      <c r="AF79" s="511"/>
      <c r="AG79" s="511"/>
      <c r="AH79" s="511"/>
      <c r="AI79" s="511"/>
      <c r="AJ79" s="511"/>
      <c r="AK79" s="511"/>
      <c r="AL79" s="511"/>
      <c r="AM79" s="511"/>
      <c r="AN79" s="511"/>
      <c r="AO79" s="511"/>
      <c r="AP79" s="511"/>
      <c r="AQ79" s="511"/>
      <c r="AR79" s="511"/>
      <c r="AS79" s="511"/>
      <c r="AT79" s="511"/>
      <c r="AU79" s="511"/>
      <c r="AV79" s="511"/>
      <c r="AW79" s="511"/>
      <c r="AX79" s="511"/>
      <c r="AY79" s="511"/>
      <c r="AZ79" s="511"/>
      <c r="BA79" s="511"/>
      <c r="BB79" s="511"/>
      <c r="BC79" s="512"/>
      <c r="BD79" s="507"/>
      <c r="BE79" s="508"/>
      <c r="BF79" s="508"/>
      <c r="BG79" s="508"/>
      <c r="BH79" s="508"/>
      <c r="BI79" s="508"/>
      <c r="BJ79" s="508"/>
      <c r="BK79" s="508"/>
      <c r="BL79" s="508"/>
      <c r="BM79" s="509"/>
      <c r="BN79" s="485">
        <v>40000</v>
      </c>
      <c r="BO79" s="486"/>
      <c r="BP79" s="486"/>
      <c r="BQ79" s="486"/>
      <c r="BR79" s="486"/>
      <c r="BS79" s="486"/>
      <c r="BT79" s="486"/>
      <c r="BU79" s="486"/>
      <c r="BV79" s="486"/>
      <c r="BW79" s="486"/>
      <c r="BX79" s="486"/>
      <c r="BY79" s="486"/>
      <c r="BZ79" s="486"/>
      <c r="CA79" s="486"/>
      <c r="CB79" s="487"/>
      <c r="CC79" s="55">
        <v>40000</v>
      </c>
      <c r="CD79" s="55">
        <v>40000</v>
      </c>
      <c r="CE79" s="55">
        <f aca="true" t="shared" si="2" ref="CE79:CE99">CC79-CD79</f>
        <v>0</v>
      </c>
      <c r="CF79" s="183">
        <f aca="true" t="shared" si="3" ref="CF79:CF99">BN79-CC79</f>
        <v>0</v>
      </c>
    </row>
    <row r="80" spans="1:84" s="14" customFormat="1" ht="21" customHeight="1">
      <c r="A80" s="540">
        <v>3</v>
      </c>
      <c r="B80" s="541"/>
      <c r="C80" s="541"/>
      <c r="D80" s="542"/>
      <c r="E80" s="510" t="s">
        <v>159</v>
      </c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  <c r="Q80" s="511"/>
      <c r="R80" s="511"/>
      <c r="S80" s="511"/>
      <c r="T80" s="511"/>
      <c r="U80" s="511"/>
      <c r="V80" s="511"/>
      <c r="W80" s="511"/>
      <c r="X80" s="511"/>
      <c r="Y80" s="511"/>
      <c r="Z80" s="511"/>
      <c r="AA80" s="511"/>
      <c r="AB80" s="511"/>
      <c r="AC80" s="511"/>
      <c r="AD80" s="511"/>
      <c r="AE80" s="511"/>
      <c r="AF80" s="511"/>
      <c r="AG80" s="511"/>
      <c r="AH80" s="511"/>
      <c r="AI80" s="511"/>
      <c r="AJ80" s="511"/>
      <c r="AK80" s="511"/>
      <c r="AL80" s="511"/>
      <c r="AM80" s="511"/>
      <c r="AN80" s="511"/>
      <c r="AO80" s="511"/>
      <c r="AP80" s="511"/>
      <c r="AQ80" s="511"/>
      <c r="AR80" s="511"/>
      <c r="AS80" s="511"/>
      <c r="AT80" s="511"/>
      <c r="AU80" s="511"/>
      <c r="AV80" s="511"/>
      <c r="AW80" s="511"/>
      <c r="AX80" s="511"/>
      <c r="AY80" s="511"/>
      <c r="AZ80" s="511"/>
      <c r="BA80" s="511"/>
      <c r="BB80" s="511"/>
      <c r="BC80" s="512"/>
      <c r="BD80" s="507"/>
      <c r="BE80" s="508"/>
      <c r="BF80" s="508"/>
      <c r="BG80" s="508"/>
      <c r="BH80" s="508"/>
      <c r="BI80" s="508"/>
      <c r="BJ80" s="508"/>
      <c r="BK80" s="508"/>
      <c r="BL80" s="508"/>
      <c r="BM80" s="509"/>
      <c r="BN80" s="485">
        <v>4200</v>
      </c>
      <c r="BO80" s="486"/>
      <c r="BP80" s="486"/>
      <c r="BQ80" s="486"/>
      <c r="BR80" s="486"/>
      <c r="BS80" s="486"/>
      <c r="BT80" s="486"/>
      <c r="BU80" s="486"/>
      <c r="BV80" s="486"/>
      <c r="BW80" s="486"/>
      <c r="BX80" s="486"/>
      <c r="BY80" s="486"/>
      <c r="BZ80" s="486"/>
      <c r="CA80" s="486"/>
      <c r="CB80" s="487"/>
      <c r="CC80" s="55">
        <v>3600</v>
      </c>
      <c r="CD80" s="55">
        <v>1800</v>
      </c>
      <c r="CE80" s="55">
        <f t="shared" si="2"/>
        <v>1800</v>
      </c>
      <c r="CF80" s="183">
        <f t="shared" si="3"/>
        <v>600</v>
      </c>
    </row>
    <row r="81" spans="1:84" s="14" customFormat="1" ht="21" customHeight="1">
      <c r="A81" s="540">
        <v>4</v>
      </c>
      <c r="B81" s="541"/>
      <c r="C81" s="541"/>
      <c r="D81" s="542"/>
      <c r="E81" s="510" t="s">
        <v>129</v>
      </c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  <c r="Q81" s="511"/>
      <c r="R81" s="511"/>
      <c r="S81" s="511"/>
      <c r="T81" s="511"/>
      <c r="U81" s="511"/>
      <c r="V81" s="511"/>
      <c r="W81" s="511"/>
      <c r="X81" s="511"/>
      <c r="Y81" s="511"/>
      <c r="Z81" s="511"/>
      <c r="AA81" s="511"/>
      <c r="AB81" s="511"/>
      <c r="AC81" s="511"/>
      <c r="AD81" s="511"/>
      <c r="AE81" s="511"/>
      <c r="AF81" s="511"/>
      <c r="AG81" s="511"/>
      <c r="AH81" s="511"/>
      <c r="AI81" s="511"/>
      <c r="AJ81" s="511"/>
      <c r="AK81" s="511"/>
      <c r="AL81" s="511"/>
      <c r="AM81" s="511"/>
      <c r="AN81" s="511"/>
      <c r="AO81" s="511"/>
      <c r="AP81" s="511"/>
      <c r="AQ81" s="511"/>
      <c r="AR81" s="511"/>
      <c r="AS81" s="511"/>
      <c r="AT81" s="511"/>
      <c r="AU81" s="511"/>
      <c r="AV81" s="511"/>
      <c r="AW81" s="511"/>
      <c r="AX81" s="511"/>
      <c r="AY81" s="511"/>
      <c r="AZ81" s="511"/>
      <c r="BA81" s="511"/>
      <c r="BB81" s="511"/>
      <c r="BC81" s="512"/>
      <c r="BD81" s="507"/>
      <c r="BE81" s="508"/>
      <c r="BF81" s="508"/>
      <c r="BG81" s="508"/>
      <c r="BH81" s="508"/>
      <c r="BI81" s="508"/>
      <c r="BJ81" s="508"/>
      <c r="BK81" s="508"/>
      <c r="BL81" s="508"/>
      <c r="BM81" s="509"/>
      <c r="BN81" s="485">
        <f>300545+50000-545</f>
        <v>350000</v>
      </c>
      <c r="BO81" s="486"/>
      <c r="BP81" s="486"/>
      <c r="BQ81" s="486"/>
      <c r="BR81" s="486"/>
      <c r="BS81" s="486"/>
      <c r="BT81" s="486"/>
      <c r="BU81" s="486"/>
      <c r="BV81" s="486"/>
      <c r="BW81" s="486"/>
      <c r="BX81" s="486"/>
      <c r="BY81" s="486"/>
      <c r="BZ81" s="486"/>
      <c r="CA81" s="486"/>
      <c r="CB81" s="487"/>
      <c r="CC81" s="55">
        <f>350000</f>
        <v>350000</v>
      </c>
      <c r="CD81" s="55">
        <f>65906+67642+50778</f>
        <v>184326</v>
      </c>
      <c r="CE81" s="55">
        <f t="shared" si="2"/>
        <v>165674</v>
      </c>
      <c r="CF81" s="183">
        <f t="shared" si="3"/>
        <v>0</v>
      </c>
    </row>
    <row r="82" spans="1:84" s="14" customFormat="1" ht="21" customHeight="1">
      <c r="A82" s="576">
        <v>5</v>
      </c>
      <c r="B82" s="577"/>
      <c r="C82" s="577"/>
      <c r="D82" s="578"/>
      <c r="E82" s="510" t="s">
        <v>421</v>
      </c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  <c r="Q82" s="511"/>
      <c r="R82" s="511"/>
      <c r="S82" s="511"/>
      <c r="T82" s="511"/>
      <c r="U82" s="511"/>
      <c r="V82" s="511"/>
      <c r="W82" s="511"/>
      <c r="X82" s="511"/>
      <c r="Y82" s="511"/>
      <c r="Z82" s="511"/>
      <c r="AA82" s="511"/>
      <c r="AB82" s="511"/>
      <c r="AC82" s="511"/>
      <c r="AD82" s="511"/>
      <c r="AE82" s="511"/>
      <c r="AF82" s="511"/>
      <c r="AG82" s="511"/>
      <c r="AH82" s="511"/>
      <c r="AI82" s="511"/>
      <c r="AJ82" s="511"/>
      <c r="AK82" s="511"/>
      <c r="AL82" s="511"/>
      <c r="AM82" s="511"/>
      <c r="AN82" s="511"/>
      <c r="AO82" s="511"/>
      <c r="AP82" s="511"/>
      <c r="AQ82" s="511"/>
      <c r="AR82" s="511"/>
      <c r="AS82" s="511"/>
      <c r="AT82" s="511"/>
      <c r="AU82" s="511"/>
      <c r="AV82" s="511"/>
      <c r="AW82" s="511"/>
      <c r="AX82" s="511"/>
      <c r="AY82" s="511"/>
      <c r="AZ82" s="511"/>
      <c r="BA82" s="511"/>
      <c r="BB82" s="511"/>
      <c r="BC82" s="512"/>
      <c r="BD82" s="260"/>
      <c r="BE82" s="261"/>
      <c r="BF82" s="261"/>
      <c r="BG82" s="261"/>
      <c r="BH82" s="261"/>
      <c r="BI82" s="261"/>
      <c r="BJ82" s="261"/>
      <c r="BK82" s="261"/>
      <c r="BL82" s="261"/>
      <c r="BM82" s="262"/>
      <c r="BN82" s="543">
        <f>114961+545</f>
        <v>115506</v>
      </c>
      <c r="BO82" s="544"/>
      <c r="BP82" s="544"/>
      <c r="BQ82" s="544"/>
      <c r="BR82" s="544"/>
      <c r="BS82" s="544"/>
      <c r="BT82" s="544"/>
      <c r="BU82" s="544"/>
      <c r="BV82" s="544"/>
      <c r="BW82" s="544"/>
      <c r="BX82" s="544"/>
      <c r="BY82" s="544"/>
      <c r="BZ82" s="544"/>
      <c r="CA82" s="544"/>
      <c r="CB82" s="545"/>
      <c r="CC82" s="55">
        <v>115506</v>
      </c>
      <c r="CD82" s="55">
        <v>115506</v>
      </c>
      <c r="CE82" s="55"/>
      <c r="CF82" s="183"/>
    </row>
    <row r="83" spans="1:84" s="14" customFormat="1" ht="21" customHeight="1">
      <c r="A83" s="540">
        <v>6</v>
      </c>
      <c r="B83" s="541"/>
      <c r="C83" s="541"/>
      <c r="D83" s="542"/>
      <c r="E83" s="510" t="s">
        <v>160</v>
      </c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  <c r="Q83" s="511"/>
      <c r="R83" s="511"/>
      <c r="S83" s="511"/>
      <c r="T83" s="511"/>
      <c r="U83" s="511"/>
      <c r="V83" s="511"/>
      <c r="W83" s="511"/>
      <c r="X83" s="511"/>
      <c r="Y83" s="511"/>
      <c r="Z83" s="511"/>
      <c r="AA83" s="511"/>
      <c r="AB83" s="511"/>
      <c r="AC83" s="511"/>
      <c r="AD83" s="511"/>
      <c r="AE83" s="511"/>
      <c r="AF83" s="511"/>
      <c r="AG83" s="511"/>
      <c r="AH83" s="511"/>
      <c r="AI83" s="511"/>
      <c r="AJ83" s="511"/>
      <c r="AK83" s="511"/>
      <c r="AL83" s="511"/>
      <c r="AM83" s="511"/>
      <c r="AN83" s="511"/>
      <c r="AO83" s="511"/>
      <c r="AP83" s="511"/>
      <c r="AQ83" s="511"/>
      <c r="AR83" s="511"/>
      <c r="AS83" s="511"/>
      <c r="AT83" s="511"/>
      <c r="AU83" s="511"/>
      <c r="AV83" s="511"/>
      <c r="AW83" s="511"/>
      <c r="AX83" s="511"/>
      <c r="AY83" s="511"/>
      <c r="AZ83" s="511"/>
      <c r="BA83" s="511"/>
      <c r="BB83" s="511"/>
      <c r="BC83" s="512"/>
      <c r="BD83" s="507"/>
      <c r="BE83" s="508"/>
      <c r="BF83" s="508"/>
      <c r="BG83" s="508"/>
      <c r="BH83" s="508"/>
      <c r="BI83" s="508"/>
      <c r="BJ83" s="508"/>
      <c r="BK83" s="508"/>
      <c r="BL83" s="508"/>
      <c r="BM83" s="509"/>
      <c r="BN83" s="485">
        <v>45000</v>
      </c>
      <c r="BO83" s="486"/>
      <c r="BP83" s="486"/>
      <c r="BQ83" s="486"/>
      <c r="BR83" s="486"/>
      <c r="BS83" s="486"/>
      <c r="BT83" s="486"/>
      <c r="BU83" s="486"/>
      <c r="BV83" s="486"/>
      <c r="BW83" s="486"/>
      <c r="BX83" s="486"/>
      <c r="BY83" s="486"/>
      <c r="BZ83" s="486"/>
      <c r="CA83" s="486"/>
      <c r="CB83" s="487"/>
      <c r="CC83" s="55">
        <v>30000</v>
      </c>
      <c r="CD83" s="55">
        <v>30000</v>
      </c>
      <c r="CE83" s="55">
        <f>CC83-CD83</f>
        <v>0</v>
      </c>
      <c r="CF83" s="183">
        <f>BN83-CC83</f>
        <v>15000</v>
      </c>
    </row>
    <row r="84" spans="1:84" s="14" customFormat="1" ht="21" customHeight="1">
      <c r="A84" s="540">
        <v>7</v>
      </c>
      <c r="B84" s="541"/>
      <c r="C84" s="541"/>
      <c r="D84" s="542"/>
      <c r="E84" s="510" t="s">
        <v>161</v>
      </c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  <c r="Q84" s="511"/>
      <c r="R84" s="511"/>
      <c r="S84" s="511"/>
      <c r="T84" s="511"/>
      <c r="U84" s="511"/>
      <c r="V84" s="511"/>
      <c r="W84" s="511"/>
      <c r="X84" s="511"/>
      <c r="Y84" s="511"/>
      <c r="Z84" s="511"/>
      <c r="AA84" s="511"/>
      <c r="AB84" s="511"/>
      <c r="AC84" s="511"/>
      <c r="AD84" s="511"/>
      <c r="AE84" s="511"/>
      <c r="AF84" s="511"/>
      <c r="AG84" s="511"/>
      <c r="AH84" s="511"/>
      <c r="AI84" s="511"/>
      <c r="AJ84" s="511"/>
      <c r="AK84" s="511"/>
      <c r="AL84" s="511"/>
      <c r="AM84" s="511"/>
      <c r="AN84" s="511"/>
      <c r="AO84" s="511"/>
      <c r="AP84" s="511"/>
      <c r="AQ84" s="511"/>
      <c r="AR84" s="511"/>
      <c r="AS84" s="511"/>
      <c r="AT84" s="511"/>
      <c r="AU84" s="511"/>
      <c r="AV84" s="511"/>
      <c r="AW84" s="511"/>
      <c r="AX84" s="511"/>
      <c r="AY84" s="511"/>
      <c r="AZ84" s="511"/>
      <c r="BA84" s="511"/>
      <c r="BB84" s="511"/>
      <c r="BC84" s="512"/>
      <c r="BD84" s="507"/>
      <c r="BE84" s="508"/>
      <c r="BF84" s="508"/>
      <c r="BG84" s="508"/>
      <c r="BH84" s="508"/>
      <c r="BI84" s="508"/>
      <c r="BJ84" s="508"/>
      <c r="BK84" s="508"/>
      <c r="BL84" s="508"/>
      <c r="BM84" s="509"/>
      <c r="BN84" s="485">
        <f>29120-5000</f>
        <v>24120</v>
      </c>
      <c r="BO84" s="486"/>
      <c r="BP84" s="486"/>
      <c r="BQ84" s="486"/>
      <c r="BR84" s="486"/>
      <c r="BS84" s="486"/>
      <c r="BT84" s="486"/>
      <c r="BU84" s="486"/>
      <c r="BV84" s="486"/>
      <c r="BW84" s="486"/>
      <c r="BX84" s="486"/>
      <c r="BY84" s="486"/>
      <c r="BZ84" s="486"/>
      <c r="CA84" s="486"/>
      <c r="CB84" s="487"/>
      <c r="CC84" s="181">
        <f>28000-5000</f>
        <v>23000</v>
      </c>
      <c r="CD84" s="55">
        <f>2800+2800+2800</f>
        <v>8400</v>
      </c>
      <c r="CE84" s="55">
        <f t="shared" si="2"/>
        <v>14600</v>
      </c>
      <c r="CF84" s="183">
        <f t="shared" si="3"/>
        <v>1120</v>
      </c>
    </row>
    <row r="85" spans="1:84" s="14" customFormat="1" ht="21" customHeight="1">
      <c r="A85" s="540">
        <v>8</v>
      </c>
      <c r="B85" s="541"/>
      <c r="C85" s="541"/>
      <c r="D85" s="542"/>
      <c r="E85" s="510" t="s">
        <v>158</v>
      </c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1"/>
      <c r="AU85" s="511"/>
      <c r="AV85" s="511"/>
      <c r="AW85" s="511"/>
      <c r="AX85" s="511"/>
      <c r="AY85" s="511"/>
      <c r="AZ85" s="511"/>
      <c r="BA85" s="511"/>
      <c r="BB85" s="511"/>
      <c r="BC85" s="512"/>
      <c r="BD85" s="507"/>
      <c r="BE85" s="508"/>
      <c r="BF85" s="508"/>
      <c r="BG85" s="508"/>
      <c r="BH85" s="508"/>
      <c r="BI85" s="508"/>
      <c r="BJ85" s="508"/>
      <c r="BK85" s="508"/>
      <c r="BL85" s="508"/>
      <c r="BM85" s="509"/>
      <c r="BN85" s="485">
        <v>3500</v>
      </c>
      <c r="BO85" s="486"/>
      <c r="BP85" s="486"/>
      <c r="BQ85" s="486"/>
      <c r="BR85" s="486"/>
      <c r="BS85" s="486"/>
      <c r="BT85" s="486"/>
      <c r="BU85" s="486"/>
      <c r="BV85" s="486"/>
      <c r="BW85" s="486"/>
      <c r="BX85" s="486"/>
      <c r="BY85" s="486"/>
      <c r="BZ85" s="486"/>
      <c r="CA85" s="486"/>
      <c r="CB85" s="487"/>
      <c r="CC85" s="55"/>
      <c r="CD85" s="55"/>
      <c r="CE85" s="55">
        <f t="shared" si="2"/>
        <v>0</v>
      </c>
      <c r="CF85" s="183">
        <f t="shared" si="3"/>
        <v>3500</v>
      </c>
    </row>
    <row r="86" spans="1:84" s="14" customFormat="1" ht="21" customHeight="1">
      <c r="A86" s="540">
        <v>9</v>
      </c>
      <c r="B86" s="541"/>
      <c r="C86" s="541"/>
      <c r="D86" s="542"/>
      <c r="E86" s="510" t="s">
        <v>353</v>
      </c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  <c r="AR86" s="511"/>
      <c r="AS86" s="511"/>
      <c r="AT86" s="511"/>
      <c r="AU86" s="511"/>
      <c r="AV86" s="511"/>
      <c r="AW86" s="511"/>
      <c r="AX86" s="511"/>
      <c r="AY86" s="511"/>
      <c r="AZ86" s="511"/>
      <c r="BA86" s="511"/>
      <c r="BB86" s="511"/>
      <c r="BC86" s="512"/>
      <c r="BD86" s="507"/>
      <c r="BE86" s="508"/>
      <c r="BF86" s="508"/>
      <c r="BG86" s="508"/>
      <c r="BH86" s="508"/>
      <c r="BI86" s="508"/>
      <c r="BJ86" s="508"/>
      <c r="BK86" s="508"/>
      <c r="BL86" s="508"/>
      <c r="BM86" s="509"/>
      <c r="BN86" s="485">
        <v>6136</v>
      </c>
      <c r="BO86" s="486"/>
      <c r="BP86" s="486"/>
      <c r="BQ86" s="486"/>
      <c r="BR86" s="486"/>
      <c r="BS86" s="486"/>
      <c r="BT86" s="486"/>
      <c r="BU86" s="486"/>
      <c r="BV86" s="486"/>
      <c r="BW86" s="486"/>
      <c r="BX86" s="486"/>
      <c r="BY86" s="486"/>
      <c r="BZ86" s="486"/>
      <c r="CA86" s="486"/>
      <c r="CB86" s="487"/>
      <c r="CC86" s="55">
        <v>5900</v>
      </c>
      <c r="CD86" s="55">
        <v>5900</v>
      </c>
      <c r="CE86" s="55">
        <f t="shared" si="2"/>
        <v>0</v>
      </c>
      <c r="CF86" s="183">
        <f t="shared" si="3"/>
        <v>236</v>
      </c>
    </row>
    <row r="87" spans="1:84" s="14" customFormat="1" ht="21" customHeight="1">
      <c r="A87" s="540">
        <v>10</v>
      </c>
      <c r="B87" s="541"/>
      <c r="C87" s="541"/>
      <c r="D87" s="542"/>
      <c r="E87" s="510" t="s">
        <v>357</v>
      </c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R87" s="511"/>
      <c r="AS87" s="511"/>
      <c r="AT87" s="511"/>
      <c r="AU87" s="511"/>
      <c r="AV87" s="511"/>
      <c r="AW87" s="511"/>
      <c r="AX87" s="511"/>
      <c r="AY87" s="511"/>
      <c r="AZ87" s="511"/>
      <c r="BA87" s="511"/>
      <c r="BB87" s="511"/>
      <c r="BC87" s="512"/>
      <c r="BD87" s="507"/>
      <c r="BE87" s="508"/>
      <c r="BF87" s="508"/>
      <c r="BG87" s="508"/>
      <c r="BH87" s="508"/>
      <c r="BI87" s="508"/>
      <c r="BJ87" s="508"/>
      <c r="BK87" s="508"/>
      <c r="BL87" s="508"/>
      <c r="BM87" s="509"/>
      <c r="BN87" s="485">
        <v>10400</v>
      </c>
      <c r="BO87" s="486"/>
      <c r="BP87" s="486"/>
      <c r="BQ87" s="486"/>
      <c r="BR87" s="486"/>
      <c r="BS87" s="486"/>
      <c r="BT87" s="486"/>
      <c r="BU87" s="486"/>
      <c r="BV87" s="486"/>
      <c r="BW87" s="486"/>
      <c r="BX87" s="486"/>
      <c r="BY87" s="486"/>
      <c r="BZ87" s="486"/>
      <c r="CA87" s="486"/>
      <c r="CB87" s="487"/>
      <c r="CC87" s="55">
        <v>10000</v>
      </c>
      <c r="CD87" s="55">
        <v>10000</v>
      </c>
      <c r="CE87" s="55">
        <f t="shared" si="2"/>
        <v>0</v>
      </c>
      <c r="CF87" s="183">
        <f t="shared" si="3"/>
        <v>400</v>
      </c>
    </row>
    <row r="88" spans="1:84" s="14" customFormat="1" ht="21" customHeight="1">
      <c r="A88" s="540">
        <v>11</v>
      </c>
      <c r="B88" s="541"/>
      <c r="C88" s="541"/>
      <c r="D88" s="542"/>
      <c r="E88" s="510" t="s">
        <v>358</v>
      </c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1"/>
      <c r="AU88" s="511"/>
      <c r="AV88" s="511"/>
      <c r="AW88" s="511"/>
      <c r="AX88" s="511"/>
      <c r="AY88" s="511"/>
      <c r="AZ88" s="511"/>
      <c r="BA88" s="511"/>
      <c r="BB88" s="511"/>
      <c r="BC88" s="512"/>
      <c r="BD88" s="507"/>
      <c r="BE88" s="508"/>
      <c r="BF88" s="508"/>
      <c r="BG88" s="508"/>
      <c r="BH88" s="508"/>
      <c r="BI88" s="508"/>
      <c r="BJ88" s="508"/>
      <c r="BK88" s="508"/>
      <c r="BL88" s="508"/>
      <c r="BM88" s="509"/>
      <c r="BN88" s="485">
        <f>120000-36000</f>
        <v>84000</v>
      </c>
      <c r="BO88" s="486"/>
      <c r="BP88" s="486"/>
      <c r="BQ88" s="486"/>
      <c r="BR88" s="486"/>
      <c r="BS88" s="486"/>
      <c r="BT88" s="486"/>
      <c r="BU88" s="486"/>
      <c r="BV88" s="486"/>
      <c r="BW88" s="486"/>
      <c r="BX88" s="486"/>
      <c r="BY88" s="486"/>
      <c r="BZ88" s="486"/>
      <c r="CA88" s="486"/>
      <c r="CB88" s="487"/>
      <c r="CC88" s="55">
        <f>84000</f>
        <v>84000</v>
      </c>
      <c r="CD88" s="55">
        <f>7000+7000+7000+7000+7000+7000+7000+7000</f>
        <v>56000</v>
      </c>
      <c r="CE88" s="55">
        <f t="shared" si="2"/>
        <v>28000</v>
      </c>
      <c r="CF88" s="183">
        <f t="shared" si="3"/>
        <v>0</v>
      </c>
    </row>
    <row r="89" spans="1:84" s="14" customFormat="1" ht="21" customHeight="1">
      <c r="A89" s="540">
        <v>12</v>
      </c>
      <c r="B89" s="541"/>
      <c r="C89" s="541"/>
      <c r="D89" s="542"/>
      <c r="E89" s="510" t="s">
        <v>360</v>
      </c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1"/>
      <c r="AU89" s="511"/>
      <c r="AV89" s="511"/>
      <c r="AW89" s="511"/>
      <c r="AX89" s="511"/>
      <c r="AY89" s="511"/>
      <c r="AZ89" s="511"/>
      <c r="BA89" s="511"/>
      <c r="BB89" s="511"/>
      <c r="BC89" s="512"/>
      <c r="BD89" s="507"/>
      <c r="BE89" s="508"/>
      <c r="BF89" s="508"/>
      <c r="BG89" s="508"/>
      <c r="BH89" s="508"/>
      <c r="BI89" s="508"/>
      <c r="BJ89" s="508"/>
      <c r="BK89" s="508"/>
      <c r="BL89" s="508"/>
      <c r="BM89" s="509"/>
      <c r="BN89" s="485">
        <f>302038.89-2414</f>
        <v>299624.89</v>
      </c>
      <c r="BO89" s="486"/>
      <c r="BP89" s="486"/>
      <c r="BQ89" s="486"/>
      <c r="BR89" s="486"/>
      <c r="BS89" s="486"/>
      <c r="BT89" s="486"/>
      <c r="BU89" s="486"/>
      <c r="BV89" s="486"/>
      <c r="BW89" s="486"/>
      <c r="BX89" s="486"/>
      <c r="BY89" s="486"/>
      <c r="BZ89" s="486"/>
      <c r="CA89" s="486"/>
      <c r="CB89" s="487"/>
      <c r="CC89" s="55">
        <v>169839</v>
      </c>
      <c r="CD89" s="55">
        <f>25551+28557+30060+31563+24048+30060</f>
        <v>169839</v>
      </c>
      <c r="CE89" s="55">
        <f>CC89-CD89</f>
        <v>0</v>
      </c>
      <c r="CF89" s="183">
        <f>BN89-CC89</f>
        <v>129785.89000000001</v>
      </c>
    </row>
    <row r="90" spans="1:84" s="14" customFormat="1" ht="21" customHeight="1">
      <c r="A90" s="540">
        <v>13</v>
      </c>
      <c r="B90" s="541"/>
      <c r="C90" s="541"/>
      <c r="D90" s="542"/>
      <c r="E90" s="510" t="s">
        <v>363</v>
      </c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  <c r="Q90" s="511"/>
      <c r="R90" s="511"/>
      <c r="S90" s="511"/>
      <c r="T90" s="511"/>
      <c r="U90" s="511"/>
      <c r="V90" s="511"/>
      <c r="W90" s="511"/>
      <c r="X90" s="511"/>
      <c r="Y90" s="511"/>
      <c r="Z90" s="511"/>
      <c r="AA90" s="511"/>
      <c r="AB90" s="511"/>
      <c r="AC90" s="511"/>
      <c r="AD90" s="511"/>
      <c r="AE90" s="511"/>
      <c r="AF90" s="511"/>
      <c r="AG90" s="511"/>
      <c r="AH90" s="511"/>
      <c r="AI90" s="511"/>
      <c r="AJ90" s="511"/>
      <c r="AK90" s="511"/>
      <c r="AL90" s="511"/>
      <c r="AM90" s="511"/>
      <c r="AN90" s="511"/>
      <c r="AO90" s="511"/>
      <c r="AP90" s="511"/>
      <c r="AQ90" s="511"/>
      <c r="AR90" s="511"/>
      <c r="AS90" s="511"/>
      <c r="AT90" s="511"/>
      <c r="AU90" s="511"/>
      <c r="AV90" s="511"/>
      <c r="AW90" s="511"/>
      <c r="AX90" s="511"/>
      <c r="AY90" s="511"/>
      <c r="AZ90" s="511"/>
      <c r="BA90" s="511"/>
      <c r="BB90" s="511"/>
      <c r="BC90" s="512"/>
      <c r="BD90" s="507"/>
      <c r="BE90" s="508"/>
      <c r="BF90" s="508"/>
      <c r="BG90" s="508"/>
      <c r="BH90" s="508"/>
      <c r="BI90" s="508"/>
      <c r="BJ90" s="508"/>
      <c r="BK90" s="508"/>
      <c r="BL90" s="508"/>
      <c r="BM90" s="509"/>
      <c r="BN90" s="485">
        <f>14600-9352.36</f>
        <v>5247.639999999999</v>
      </c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486"/>
      <c r="CA90" s="486"/>
      <c r="CB90" s="487"/>
      <c r="CC90" s="55"/>
      <c r="CD90" s="55"/>
      <c r="CE90" s="55">
        <f t="shared" si="2"/>
        <v>0</v>
      </c>
      <c r="CF90" s="183">
        <f t="shared" si="3"/>
        <v>5247.639999999999</v>
      </c>
    </row>
    <row r="91" spans="1:84" s="14" customFormat="1" ht="21" customHeight="1">
      <c r="A91" s="540">
        <v>14</v>
      </c>
      <c r="B91" s="541"/>
      <c r="C91" s="541"/>
      <c r="D91" s="542"/>
      <c r="E91" s="510" t="s">
        <v>364</v>
      </c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  <c r="T91" s="511"/>
      <c r="U91" s="511"/>
      <c r="V91" s="511"/>
      <c r="W91" s="511"/>
      <c r="X91" s="511"/>
      <c r="Y91" s="511"/>
      <c r="Z91" s="511"/>
      <c r="AA91" s="511"/>
      <c r="AB91" s="511"/>
      <c r="AC91" s="511"/>
      <c r="AD91" s="511"/>
      <c r="AE91" s="511"/>
      <c r="AF91" s="511"/>
      <c r="AG91" s="511"/>
      <c r="AH91" s="511"/>
      <c r="AI91" s="511"/>
      <c r="AJ91" s="511"/>
      <c r="AK91" s="511"/>
      <c r="AL91" s="511"/>
      <c r="AM91" s="511"/>
      <c r="AN91" s="511"/>
      <c r="AO91" s="511"/>
      <c r="AP91" s="511"/>
      <c r="AQ91" s="511"/>
      <c r="AR91" s="511"/>
      <c r="AS91" s="511"/>
      <c r="AT91" s="511"/>
      <c r="AU91" s="511"/>
      <c r="AV91" s="511"/>
      <c r="AW91" s="511"/>
      <c r="AX91" s="511"/>
      <c r="AY91" s="511"/>
      <c r="AZ91" s="511"/>
      <c r="BA91" s="511"/>
      <c r="BB91" s="511"/>
      <c r="BC91" s="512"/>
      <c r="BD91" s="507"/>
      <c r="BE91" s="508"/>
      <c r="BF91" s="508"/>
      <c r="BG91" s="508"/>
      <c r="BH91" s="508"/>
      <c r="BI91" s="508"/>
      <c r="BJ91" s="508"/>
      <c r="BK91" s="508"/>
      <c r="BL91" s="508"/>
      <c r="BM91" s="509"/>
      <c r="BN91" s="485">
        <f>678650-50000-114961-30132</f>
        <v>483557</v>
      </c>
      <c r="BO91" s="486"/>
      <c r="BP91" s="486"/>
      <c r="BQ91" s="486"/>
      <c r="BR91" s="486"/>
      <c r="BS91" s="486"/>
      <c r="BT91" s="486"/>
      <c r="BU91" s="486"/>
      <c r="BV91" s="486"/>
      <c r="BW91" s="486"/>
      <c r="BX91" s="486"/>
      <c r="BY91" s="486"/>
      <c r="BZ91" s="486"/>
      <c r="CA91" s="486"/>
      <c r="CB91" s="487"/>
      <c r="CC91" s="55">
        <f>100000</f>
        <v>100000</v>
      </c>
      <c r="CD91" s="55">
        <f>15056+18720+13428</f>
        <v>47204</v>
      </c>
      <c r="CE91" s="55">
        <f t="shared" si="2"/>
        <v>52796</v>
      </c>
      <c r="CF91" s="183">
        <f t="shared" si="3"/>
        <v>383557</v>
      </c>
    </row>
    <row r="92" spans="1:84" s="14" customFormat="1" ht="21" customHeight="1">
      <c r="A92" s="576">
        <v>15</v>
      </c>
      <c r="B92" s="577"/>
      <c r="C92" s="577"/>
      <c r="D92" s="578"/>
      <c r="E92" s="510" t="s">
        <v>422</v>
      </c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1"/>
      <c r="AN92" s="511"/>
      <c r="AO92" s="511"/>
      <c r="AP92" s="511"/>
      <c r="AQ92" s="511"/>
      <c r="AR92" s="511"/>
      <c r="AS92" s="511"/>
      <c r="AT92" s="511"/>
      <c r="AU92" s="511"/>
      <c r="AV92" s="511"/>
      <c r="AW92" s="511"/>
      <c r="AX92" s="511"/>
      <c r="AY92" s="511"/>
      <c r="AZ92" s="511"/>
      <c r="BA92" s="511"/>
      <c r="BB92" s="511"/>
      <c r="BC92" s="512"/>
      <c r="BD92" s="260"/>
      <c r="BE92" s="261"/>
      <c r="BF92" s="261"/>
      <c r="BG92" s="261"/>
      <c r="BH92" s="261"/>
      <c r="BI92" s="261"/>
      <c r="BJ92" s="261"/>
      <c r="BK92" s="261"/>
      <c r="BL92" s="261"/>
      <c r="BM92" s="262"/>
      <c r="BN92" s="543">
        <v>30132</v>
      </c>
      <c r="BO92" s="544"/>
      <c r="BP92" s="544"/>
      <c r="BQ92" s="544"/>
      <c r="BR92" s="544"/>
      <c r="BS92" s="544"/>
      <c r="BT92" s="544"/>
      <c r="BU92" s="544"/>
      <c r="BV92" s="544"/>
      <c r="BW92" s="544"/>
      <c r="BX92" s="544"/>
      <c r="BY92" s="544"/>
      <c r="BZ92" s="544"/>
      <c r="CA92" s="544"/>
      <c r="CB92" s="545"/>
      <c r="CC92" s="55">
        <v>30132</v>
      </c>
      <c r="CD92" s="55">
        <v>30132</v>
      </c>
      <c r="CE92" s="55"/>
      <c r="CF92" s="183"/>
    </row>
    <row r="93" spans="1:84" s="121" customFormat="1" ht="25.5" customHeight="1">
      <c r="A93" s="570">
        <v>16</v>
      </c>
      <c r="B93" s="571"/>
      <c r="C93" s="571"/>
      <c r="D93" s="572"/>
      <c r="E93" s="549" t="s">
        <v>365</v>
      </c>
      <c r="F93" s="550"/>
      <c r="G93" s="550"/>
      <c r="H93" s="550"/>
      <c r="I93" s="550"/>
      <c r="J93" s="550"/>
      <c r="K93" s="550"/>
      <c r="L93" s="550"/>
      <c r="M93" s="550"/>
      <c r="N93" s="550"/>
      <c r="O93" s="550"/>
      <c r="P93" s="550"/>
      <c r="Q93" s="550"/>
      <c r="R93" s="550"/>
      <c r="S93" s="550"/>
      <c r="T93" s="550"/>
      <c r="U93" s="550"/>
      <c r="V93" s="550"/>
      <c r="W93" s="550"/>
      <c r="X93" s="550"/>
      <c r="Y93" s="550"/>
      <c r="Z93" s="550"/>
      <c r="AA93" s="550"/>
      <c r="AB93" s="550"/>
      <c r="AC93" s="550"/>
      <c r="AD93" s="550"/>
      <c r="AE93" s="550"/>
      <c r="AF93" s="550"/>
      <c r="AG93" s="550"/>
      <c r="AH93" s="550"/>
      <c r="AI93" s="550"/>
      <c r="AJ93" s="550"/>
      <c r="AK93" s="550"/>
      <c r="AL93" s="550"/>
      <c r="AM93" s="550"/>
      <c r="AN93" s="550"/>
      <c r="AO93" s="550"/>
      <c r="AP93" s="550"/>
      <c r="AQ93" s="550"/>
      <c r="AR93" s="550"/>
      <c r="AS93" s="550"/>
      <c r="AT93" s="550"/>
      <c r="AU93" s="550"/>
      <c r="AV93" s="550"/>
      <c r="AW93" s="550"/>
      <c r="AX93" s="550"/>
      <c r="AY93" s="550"/>
      <c r="AZ93" s="550"/>
      <c r="BA93" s="550"/>
      <c r="BB93" s="550"/>
      <c r="BC93" s="551"/>
      <c r="BD93" s="581"/>
      <c r="BE93" s="582"/>
      <c r="BF93" s="582"/>
      <c r="BG93" s="582"/>
      <c r="BH93" s="582"/>
      <c r="BI93" s="582"/>
      <c r="BJ93" s="582"/>
      <c r="BK93" s="582"/>
      <c r="BL93" s="582"/>
      <c r="BM93" s="583"/>
      <c r="BN93" s="596">
        <v>4160</v>
      </c>
      <c r="BO93" s="597"/>
      <c r="BP93" s="597"/>
      <c r="BQ93" s="597"/>
      <c r="BR93" s="597"/>
      <c r="BS93" s="597"/>
      <c r="BT93" s="597"/>
      <c r="BU93" s="597"/>
      <c r="BV93" s="597"/>
      <c r="BW93" s="597"/>
      <c r="BX93" s="597"/>
      <c r="BY93" s="597"/>
      <c r="BZ93" s="597"/>
      <c r="CA93" s="597"/>
      <c r="CB93" s="598"/>
      <c r="CC93" s="122"/>
      <c r="CD93" s="122"/>
      <c r="CE93" s="122">
        <f t="shared" si="2"/>
        <v>0</v>
      </c>
      <c r="CF93" s="183">
        <f t="shared" si="3"/>
        <v>4160</v>
      </c>
    </row>
    <row r="94" spans="1:84" s="121" customFormat="1" ht="22.5" customHeight="1">
      <c r="A94" s="570">
        <v>17</v>
      </c>
      <c r="B94" s="571"/>
      <c r="C94" s="571"/>
      <c r="D94" s="572"/>
      <c r="E94" s="549" t="s">
        <v>366</v>
      </c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0"/>
      <c r="U94" s="550"/>
      <c r="V94" s="550"/>
      <c r="W94" s="550"/>
      <c r="X94" s="550"/>
      <c r="Y94" s="550"/>
      <c r="Z94" s="550"/>
      <c r="AA94" s="550"/>
      <c r="AB94" s="550"/>
      <c r="AC94" s="550"/>
      <c r="AD94" s="550"/>
      <c r="AE94" s="550"/>
      <c r="AF94" s="550"/>
      <c r="AG94" s="550"/>
      <c r="AH94" s="550"/>
      <c r="AI94" s="550"/>
      <c r="AJ94" s="550"/>
      <c r="AK94" s="550"/>
      <c r="AL94" s="550"/>
      <c r="AM94" s="550"/>
      <c r="AN94" s="550"/>
      <c r="AO94" s="550"/>
      <c r="AP94" s="550"/>
      <c r="AQ94" s="550"/>
      <c r="AR94" s="550"/>
      <c r="AS94" s="550"/>
      <c r="AT94" s="550"/>
      <c r="AU94" s="550"/>
      <c r="AV94" s="550"/>
      <c r="AW94" s="550"/>
      <c r="AX94" s="550"/>
      <c r="AY94" s="550"/>
      <c r="AZ94" s="550"/>
      <c r="BA94" s="550"/>
      <c r="BB94" s="550"/>
      <c r="BC94" s="551"/>
      <c r="BD94" s="581"/>
      <c r="BE94" s="582"/>
      <c r="BF94" s="582"/>
      <c r="BG94" s="582"/>
      <c r="BH94" s="582"/>
      <c r="BI94" s="582"/>
      <c r="BJ94" s="582"/>
      <c r="BK94" s="582"/>
      <c r="BL94" s="582"/>
      <c r="BM94" s="583"/>
      <c r="BN94" s="596">
        <v>10400</v>
      </c>
      <c r="BO94" s="597"/>
      <c r="BP94" s="597"/>
      <c r="BQ94" s="597"/>
      <c r="BR94" s="597"/>
      <c r="BS94" s="597"/>
      <c r="BT94" s="597"/>
      <c r="BU94" s="597"/>
      <c r="BV94" s="597"/>
      <c r="BW94" s="597"/>
      <c r="BX94" s="597"/>
      <c r="BY94" s="597"/>
      <c r="BZ94" s="597"/>
      <c r="CA94" s="597"/>
      <c r="CB94" s="598"/>
      <c r="CC94" s="122"/>
      <c r="CD94" s="122"/>
      <c r="CE94" s="122">
        <f t="shared" si="2"/>
        <v>0</v>
      </c>
      <c r="CF94" s="183">
        <f t="shared" si="3"/>
        <v>10400</v>
      </c>
    </row>
    <row r="95" spans="1:84" s="121" customFormat="1" ht="22.5" customHeight="1">
      <c r="A95" s="570">
        <v>18</v>
      </c>
      <c r="B95" s="571"/>
      <c r="C95" s="571"/>
      <c r="D95" s="572"/>
      <c r="E95" s="549" t="s">
        <v>370</v>
      </c>
      <c r="F95" s="550"/>
      <c r="G95" s="550"/>
      <c r="H95" s="550"/>
      <c r="I95" s="550"/>
      <c r="J95" s="550"/>
      <c r="K95" s="550"/>
      <c r="L95" s="550"/>
      <c r="M95" s="550"/>
      <c r="N95" s="550"/>
      <c r="O95" s="550"/>
      <c r="P95" s="550"/>
      <c r="Q95" s="550"/>
      <c r="R95" s="550"/>
      <c r="S95" s="550"/>
      <c r="T95" s="550"/>
      <c r="U95" s="550"/>
      <c r="V95" s="550"/>
      <c r="W95" s="550"/>
      <c r="X95" s="550"/>
      <c r="Y95" s="550"/>
      <c r="Z95" s="550"/>
      <c r="AA95" s="550"/>
      <c r="AB95" s="550"/>
      <c r="AC95" s="550"/>
      <c r="AD95" s="550"/>
      <c r="AE95" s="550"/>
      <c r="AF95" s="550"/>
      <c r="AG95" s="550"/>
      <c r="AH95" s="550"/>
      <c r="AI95" s="550"/>
      <c r="AJ95" s="550"/>
      <c r="AK95" s="550"/>
      <c r="AL95" s="550"/>
      <c r="AM95" s="550"/>
      <c r="AN95" s="550"/>
      <c r="AO95" s="550"/>
      <c r="AP95" s="550"/>
      <c r="AQ95" s="550"/>
      <c r="AR95" s="550"/>
      <c r="AS95" s="550"/>
      <c r="AT95" s="550"/>
      <c r="AU95" s="550"/>
      <c r="AV95" s="550"/>
      <c r="AW95" s="550"/>
      <c r="AX95" s="550"/>
      <c r="AY95" s="550"/>
      <c r="AZ95" s="550"/>
      <c r="BA95" s="550"/>
      <c r="BB95" s="550"/>
      <c r="BC95" s="551"/>
      <c r="BD95" s="581"/>
      <c r="BE95" s="582"/>
      <c r="BF95" s="582"/>
      <c r="BG95" s="582"/>
      <c r="BH95" s="582"/>
      <c r="BI95" s="582"/>
      <c r="BJ95" s="582"/>
      <c r="BK95" s="582"/>
      <c r="BL95" s="582"/>
      <c r="BM95" s="583"/>
      <c r="BN95" s="596">
        <v>18000</v>
      </c>
      <c r="BO95" s="597"/>
      <c r="BP95" s="597"/>
      <c r="BQ95" s="597"/>
      <c r="BR95" s="597"/>
      <c r="BS95" s="597"/>
      <c r="BT95" s="597"/>
      <c r="BU95" s="597"/>
      <c r="BV95" s="597"/>
      <c r="BW95" s="597"/>
      <c r="BX95" s="597"/>
      <c r="BY95" s="597"/>
      <c r="BZ95" s="597"/>
      <c r="CA95" s="597"/>
      <c r="CB95" s="598"/>
      <c r="CC95" s="122">
        <v>18000</v>
      </c>
      <c r="CD95" s="122">
        <f>1500+1500+1500+1500+1500+1500+1500+1500</f>
        <v>12000</v>
      </c>
      <c r="CE95" s="122">
        <f t="shared" si="2"/>
        <v>6000</v>
      </c>
      <c r="CF95" s="183">
        <f t="shared" si="3"/>
        <v>0</v>
      </c>
    </row>
    <row r="96" spans="1:84" s="121" customFormat="1" ht="22.5" customHeight="1">
      <c r="A96" s="570">
        <v>19</v>
      </c>
      <c r="B96" s="571"/>
      <c r="C96" s="571"/>
      <c r="D96" s="572"/>
      <c r="E96" s="549" t="s">
        <v>379</v>
      </c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R96" s="550"/>
      <c r="S96" s="550"/>
      <c r="T96" s="550"/>
      <c r="U96" s="550"/>
      <c r="V96" s="550"/>
      <c r="W96" s="550"/>
      <c r="X96" s="550"/>
      <c r="Y96" s="550"/>
      <c r="Z96" s="550"/>
      <c r="AA96" s="550"/>
      <c r="AB96" s="550"/>
      <c r="AC96" s="550"/>
      <c r="AD96" s="550"/>
      <c r="AE96" s="550"/>
      <c r="AF96" s="550"/>
      <c r="AG96" s="550"/>
      <c r="AH96" s="550"/>
      <c r="AI96" s="550"/>
      <c r="AJ96" s="550"/>
      <c r="AK96" s="550"/>
      <c r="AL96" s="550"/>
      <c r="AM96" s="550"/>
      <c r="AN96" s="550"/>
      <c r="AO96" s="550"/>
      <c r="AP96" s="550"/>
      <c r="AQ96" s="550"/>
      <c r="AR96" s="550"/>
      <c r="AS96" s="550"/>
      <c r="AT96" s="550"/>
      <c r="AU96" s="550"/>
      <c r="AV96" s="550"/>
      <c r="AW96" s="550"/>
      <c r="AX96" s="550"/>
      <c r="AY96" s="550"/>
      <c r="AZ96" s="550"/>
      <c r="BA96" s="550"/>
      <c r="BB96" s="550"/>
      <c r="BC96" s="551"/>
      <c r="BD96" s="581"/>
      <c r="BE96" s="582"/>
      <c r="BF96" s="582"/>
      <c r="BG96" s="582"/>
      <c r="BH96" s="582"/>
      <c r="BI96" s="582"/>
      <c r="BJ96" s="582"/>
      <c r="BK96" s="582"/>
      <c r="BL96" s="582"/>
      <c r="BM96" s="583"/>
      <c r="BN96" s="596">
        <v>1872</v>
      </c>
      <c r="BO96" s="597"/>
      <c r="BP96" s="597"/>
      <c r="BQ96" s="597"/>
      <c r="BR96" s="597"/>
      <c r="BS96" s="597"/>
      <c r="BT96" s="597"/>
      <c r="BU96" s="597"/>
      <c r="BV96" s="597"/>
      <c r="BW96" s="597"/>
      <c r="BX96" s="597"/>
      <c r="BY96" s="597"/>
      <c r="BZ96" s="597"/>
      <c r="CA96" s="597"/>
      <c r="CB96" s="598"/>
      <c r="CC96" s="122"/>
      <c r="CD96" s="122"/>
      <c r="CE96" s="122">
        <f t="shared" si="2"/>
        <v>0</v>
      </c>
      <c r="CF96" s="183">
        <f t="shared" si="3"/>
        <v>1872</v>
      </c>
    </row>
    <row r="97" spans="1:84" s="121" customFormat="1" ht="22.5" customHeight="1">
      <c r="A97" s="546">
        <v>20</v>
      </c>
      <c r="B97" s="547"/>
      <c r="C97" s="547"/>
      <c r="D97" s="548"/>
      <c r="E97" s="549" t="s">
        <v>417</v>
      </c>
      <c r="F97" s="550"/>
      <c r="G97" s="550"/>
      <c r="H97" s="550"/>
      <c r="I97" s="550"/>
      <c r="J97" s="550"/>
      <c r="K97" s="550"/>
      <c r="L97" s="550"/>
      <c r="M97" s="550"/>
      <c r="N97" s="550"/>
      <c r="O97" s="550"/>
      <c r="P97" s="550"/>
      <c r="Q97" s="550"/>
      <c r="R97" s="550"/>
      <c r="S97" s="550"/>
      <c r="T97" s="550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0"/>
      <c r="AM97" s="550"/>
      <c r="AN97" s="550"/>
      <c r="AO97" s="550"/>
      <c r="AP97" s="550"/>
      <c r="AQ97" s="550"/>
      <c r="AR97" s="550"/>
      <c r="AS97" s="550"/>
      <c r="AT97" s="550"/>
      <c r="AU97" s="550"/>
      <c r="AV97" s="550"/>
      <c r="AW97" s="550"/>
      <c r="AX97" s="550"/>
      <c r="AY97" s="550"/>
      <c r="AZ97" s="550"/>
      <c r="BA97" s="550"/>
      <c r="BB97" s="550"/>
      <c r="BC97" s="551"/>
      <c r="BD97" s="546"/>
      <c r="BE97" s="547"/>
      <c r="BF97" s="547"/>
      <c r="BG97" s="547"/>
      <c r="BH97" s="547"/>
      <c r="BI97" s="547"/>
      <c r="BJ97" s="547"/>
      <c r="BK97" s="547"/>
      <c r="BL97" s="547"/>
      <c r="BM97" s="548"/>
      <c r="BN97" s="552">
        <v>4000</v>
      </c>
      <c r="BO97" s="553"/>
      <c r="BP97" s="553"/>
      <c r="BQ97" s="553"/>
      <c r="BR97" s="553"/>
      <c r="BS97" s="553"/>
      <c r="BT97" s="553"/>
      <c r="BU97" s="553"/>
      <c r="BV97" s="553"/>
      <c r="BW97" s="553"/>
      <c r="BX97" s="553"/>
      <c r="BY97" s="553"/>
      <c r="BZ97" s="553"/>
      <c r="CA97" s="553"/>
      <c r="CB97" s="554"/>
      <c r="CC97" s="122">
        <v>4000</v>
      </c>
      <c r="CD97" s="122">
        <v>4000</v>
      </c>
      <c r="CE97" s="122"/>
      <c r="CF97" s="183">
        <f t="shared" si="3"/>
        <v>0</v>
      </c>
    </row>
    <row r="98" spans="1:84" s="121" customFormat="1" ht="22.5" customHeight="1">
      <c r="A98" s="546">
        <v>21</v>
      </c>
      <c r="B98" s="547"/>
      <c r="C98" s="547"/>
      <c r="D98" s="548"/>
      <c r="E98" s="549" t="s">
        <v>426</v>
      </c>
      <c r="F98" s="550"/>
      <c r="G98" s="550"/>
      <c r="H98" s="550"/>
      <c r="I98" s="550"/>
      <c r="J98" s="550"/>
      <c r="K98" s="550"/>
      <c r="L98" s="550"/>
      <c r="M98" s="550"/>
      <c r="N98" s="550"/>
      <c r="O98" s="550"/>
      <c r="P98" s="550"/>
      <c r="Q98" s="550"/>
      <c r="R98" s="550"/>
      <c r="S98" s="550"/>
      <c r="T98" s="550"/>
      <c r="U98" s="550"/>
      <c r="V98" s="550"/>
      <c r="W98" s="550"/>
      <c r="X98" s="550"/>
      <c r="Y98" s="550"/>
      <c r="Z98" s="550"/>
      <c r="AA98" s="550"/>
      <c r="AB98" s="550"/>
      <c r="AC98" s="550"/>
      <c r="AD98" s="550"/>
      <c r="AE98" s="550"/>
      <c r="AF98" s="550"/>
      <c r="AG98" s="550"/>
      <c r="AH98" s="550"/>
      <c r="AI98" s="550"/>
      <c r="AJ98" s="550"/>
      <c r="AK98" s="550"/>
      <c r="AL98" s="550"/>
      <c r="AM98" s="550"/>
      <c r="AN98" s="550"/>
      <c r="AO98" s="550"/>
      <c r="AP98" s="550"/>
      <c r="AQ98" s="550"/>
      <c r="AR98" s="550"/>
      <c r="AS98" s="550"/>
      <c r="AT98" s="550"/>
      <c r="AU98" s="550"/>
      <c r="AV98" s="550"/>
      <c r="AW98" s="550"/>
      <c r="AX98" s="550"/>
      <c r="AY98" s="550"/>
      <c r="AZ98" s="550"/>
      <c r="BA98" s="550"/>
      <c r="BB98" s="550"/>
      <c r="BC98" s="551"/>
      <c r="BD98" s="546"/>
      <c r="BE98" s="547"/>
      <c r="BF98" s="547"/>
      <c r="BG98" s="547"/>
      <c r="BH98" s="547"/>
      <c r="BI98" s="547"/>
      <c r="BJ98" s="547"/>
      <c r="BK98" s="547"/>
      <c r="BL98" s="547"/>
      <c r="BM98" s="548"/>
      <c r="BN98" s="552">
        <v>29000</v>
      </c>
      <c r="BO98" s="553"/>
      <c r="BP98" s="553"/>
      <c r="BQ98" s="553"/>
      <c r="BR98" s="553"/>
      <c r="BS98" s="553"/>
      <c r="BT98" s="553"/>
      <c r="BU98" s="553"/>
      <c r="BV98" s="553"/>
      <c r="BW98" s="553"/>
      <c r="BX98" s="553"/>
      <c r="BY98" s="553"/>
      <c r="BZ98" s="553"/>
      <c r="CA98" s="553"/>
      <c r="CB98" s="554"/>
      <c r="CC98" s="122">
        <v>29000</v>
      </c>
      <c r="CD98" s="122">
        <v>29000</v>
      </c>
      <c r="CE98" s="122"/>
      <c r="CF98" s="183">
        <f t="shared" si="3"/>
        <v>0</v>
      </c>
    </row>
    <row r="99" spans="1:84" s="121" customFormat="1" ht="22.5" customHeight="1">
      <c r="A99" s="570">
        <v>22</v>
      </c>
      <c r="B99" s="571"/>
      <c r="C99" s="571"/>
      <c r="D99" s="572"/>
      <c r="E99" s="549" t="s">
        <v>381</v>
      </c>
      <c r="F99" s="550"/>
      <c r="G99" s="550"/>
      <c r="H99" s="550"/>
      <c r="I99" s="550"/>
      <c r="J99" s="550"/>
      <c r="K99" s="550"/>
      <c r="L99" s="550"/>
      <c r="M99" s="550"/>
      <c r="N99" s="550"/>
      <c r="O99" s="550"/>
      <c r="P99" s="550"/>
      <c r="Q99" s="550"/>
      <c r="R99" s="550"/>
      <c r="S99" s="550"/>
      <c r="T99" s="550"/>
      <c r="U99" s="550"/>
      <c r="V99" s="550"/>
      <c r="W99" s="550"/>
      <c r="X99" s="550"/>
      <c r="Y99" s="550"/>
      <c r="Z99" s="550"/>
      <c r="AA99" s="550"/>
      <c r="AB99" s="550"/>
      <c r="AC99" s="550"/>
      <c r="AD99" s="550"/>
      <c r="AE99" s="550"/>
      <c r="AF99" s="550"/>
      <c r="AG99" s="550"/>
      <c r="AH99" s="550"/>
      <c r="AI99" s="550"/>
      <c r="AJ99" s="550"/>
      <c r="AK99" s="550"/>
      <c r="AL99" s="550"/>
      <c r="AM99" s="550"/>
      <c r="AN99" s="550"/>
      <c r="AO99" s="550"/>
      <c r="AP99" s="550"/>
      <c r="AQ99" s="550"/>
      <c r="AR99" s="550"/>
      <c r="AS99" s="550"/>
      <c r="AT99" s="550"/>
      <c r="AU99" s="550"/>
      <c r="AV99" s="550"/>
      <c r="AW99" s="550"/>
      <c r="AX99" s="550"/>
      <c r="AY99" s="550"/>
      <c r="AZ99" s="550"/>
      <c r="BA99" s="550"/>
      <c r="BB99" s="550"/>
      <c r="BC99" s="551"/>
      <c r="BD99" s="581"/>
      <c r="BE99" s="582"/>
      <c r="BF99" s="582"/>
      <c r="BG99" s="582"/>
      <c r="BH99" s="582"/>
      <c r="BI99" s="582"/>
      <c r="BJ99" s="582"/>
      <c r="BK99" s="582"/>
      <c r="BL99" s="582"/>
      <c r="BM99" s="583"/>
      <c r="BN99" s="596">
        <v>24000</v>
      </c>
      <c r="BO99" s="597"/>
      <c r="BP99" s="597"/>
      <c r="BQ99" s="597"/>
      <c r="BR99" s="597"/>
      <c r="BS99" s="597"/>
      <c r="BT99" s="597"/>
      <c r="BU99" s="597"/>
      <c r="BV99" s="597"/>
      <c r="BW99" s="597"/>
      <c r="BX99" s="597"/>
      <c r="BY99" s="597"/>
      <c r="BZ99" s="597"/>
      <c r="CA99" s="597"/>
      <c r="CB99" s="598"/>
      <c r="CC99" s="122">
        <v>24000</v>
      </c>
      <c r="CD99" s="122">
        <f>2000+2000+2000+2000+2000+2000+2000+2000</f>
        <v>16000</v>
      </c>
      <c r="CE99" s="122">
        <f t="shared" si="2"/>
        <v>8000</v>
      </c>
      <c r="CF99" s="183">
        <f t="shared" si="3"/>
        <v>0</v>
      </c>
    </row>
    <row r="100" spans="1:85" s="155" customFormat="1" ht="13.5" thickBot="1">
      <c r="A100" s="591"/>
      <c r="B100" s="592"/>
      <c r="C100" s="592"/>
      <c r="D100" s="593"/>
      <c r="E100" s="599" t="s">
        <v>10</v>
      </c>
      <c r="F100" s="600"/>
      <c r="G100" s="600"/>
      <c r="H100" s="600"/>
      <c r="I100" s="600"/>
      <c r="J100" s="600"/>
      <c r="K100" s="600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0"/>
      <c r="AL100" s="600"/>
      <c r="AM100" s="600"/>
      <c r="AN100" s="600"/>
      <c r="AO100" s="600"/>
      <c r="AP100" s="600"/>
      <c r="AQ100" s="600"/>
      <c r="AR100" s="600"/>
      <c r="AS100" s="600"/>
      <c r="AT100" s="600"/>
      <c r="AU100" s="600"/>
      <c r="AV100" s="600"/>
      <c r="AW100" s="600"/>
      <c r="AX100" s="600"/>
      <c r="AY100" s="600"/>
      <c r="AZ100" s="600"/>
      <c r="BA100" s="600"/>
      <c r="BB100" s="600"/>
      <c r="BC100" s="601"/>
      <c r="BD100" s="584" t="s">
        <v>11</v>
      </c>
      <c r="BE100" s="585"/>
      <c r="BF100" s="585"/>
      <c r="BG100" s="585"/>
      <c r="BH100" s="585"/>
      <c r="BI100" s="585"/>
      <c r="BJ100" s="585"/>
      <c r="BK100" s="585"/>
      <c r="BL100" s="585"/>
      <c r="BM100" s="586"/>
      <c r="BN100" s="594">
        <f>SUM(BN78:CB99)</f>
        <v>1616484.49</v>
      </c>
      <c r="BO100" s="595"/>
      <c r="BP100" s="595"/>
      <c r="BQ100" s="595"/>
      <c r="BR100" s="595"/>
      <c r="BS100" s="595"/>
      <c r="BT100" s="595"/>
      <c r="BU100" s="595"/>
      <c r="BV100" s="595"/>
      <c r="BW100" s="595"/>
      <c r="BX100" s="595"/>
      <c r="BY100" s="595"/>
      <c r="BZ100" s="595"/>
      <c r="CA100" s="595"/>
      <c r="CB100" s="595"/>
      <c r="CC100" s="197"/>
      <c r="CD100" s="197"/>
      <c r="CE100" s="197"/>
      <c r="CF100" s="237"/>
      <c r="CG100" s="154"/>
    </row>
    <row r="101" spans="81:85" s="1" customFormat="1" ht="15.75">
      <c r="CC101" s="190"/>
      <c r="CD101" s="238"/>
      <c r="CE101" s="238"/>
      <c r="CF101" s="237"/>
      <c r="CG101" s="239"/>
    </row>
    <row r="102" spans="1:85" s="3" customFormat="1" ht="15.75">
      <c r="A102" s="363" t="s">
        <v>400</v>
      </c>
      <c r="B102" s="363"/>
      <c r="C102" s="363"/>
      <c r="D102" s="363"/>
      <c r="E102" s="363"/>
      <c r="F102" s="363"/>
      <c r="G102" s="363"/>
      <c r="H102" s="363"/>
      <c r="I102" s="363"/>
      <c r="J102" s="363"/>
      <c r="K102" s="363"/>
      <c r="L102" s="363"/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  <c r="BZ102" s="363"/>
      <c r="CA102" s="363"/>
      <c r="CB102" s="363"/>
      <c r="CC102" s="240"/>
      <c r="CD102" s="240"/>
      <c r="CE102" s="240"/>
      <c r="CF102" s="241"/>
      <c r="CG102" s="241"/>
    </row>
    <row r="103" spans="81:85" ht="12.75">
      <c r="CC103" s="236"/>
      <c r="CD103" s="236"/>
      <c r="CE103" s="236"/>
      <c r="CF103" s="237"/>
      <c r="CG103" s="235"/>
    </row>
    <row r="104" spans="1:85" ht="12.75">
      <c r="A104" s="364" t="s">
        <v>5</v>
      </c>
      <c r="B104" s="365"/>
      <c r="C104" s="365"/>
      <c r="D104" s="368"/>
      <c r="E104" s="364" t="s">
        <v>13</v>
      </c>
      <c r="F104" s="365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5"/>
      <c r="AL104" s="365"/>
      <c r="AM104" s="365"/>
      <c r="AN104" s="365"/>
      <c r="AO104" s="365"/>
      <c r="AP104" s="365"/>
      <c r="AQ104" s="365"/>
      <c r="AR104" s="365"/>
      <c r="AS104" s="365"/>
      <c r="AT104" s="365"/>
      <c r="AU104" s="365"/>
      <c r="AV104" s="365"/>
      <c r="AW104" s="365"/>
      <c r="AX104" s="365"/>
      <c r="AY104" s="365"/>
      <c r="AZ104" s="365"/>
      <c r="BA104" s="365"/>
      <c r="BB104" s="365"/>
      <c r="BC104" s="368"/>
      <c r="BD104" s="364" t="s">
        <v>18</v>
      </c>
      <c r="BE104" s="365"/>
      <c r="BF104" s="365"/>
      <c r="BG104" s="365"/>
      <c r="BH104" s="365"/>
      <c r="BI104" s="365"/>
      <c r="BJ104" s="365"/>
      <c r="BK104" s="365"/>
      <c r="BL104" s="365"/>
      <c r="BM104" s="368"/>
      <c r="BN104" s="364" t="s">
        <v>83</v>
      </c>
      <c r="BO104" s="365"/>
      <c r="BP104" s="365"/>
      <c r="BQ104" s="365"/>
      <c r="BR104" s="365"/>
      <c r="BS104" s="365"/>
      <c r="BT104" s="365"/>
      <c r="BU104" s="365"/>
      <c r="BV104" s="365"/>
      <c r="BW104" s="365"/>
      <c r="BX104" s="365"/>
      <c r="BY104" s="365"/>
      <c r="BZ104" s="365"/>
      <c r="CA104" s="365"/>
      <c r="CB104" s="365"/>
      <c r="CC104" s="192"/>
      <c r="CD104" s="236"/>
      <c r="CE104" s="236"/>
      <c r="CF104" s="237"/>
      <c r="CG104" s="235"/>
    </row>
    <row r="105" spans="1:84" ht="15.75">
      <c r="A105" s="366" t="s">
        <v>6</v>
      </c>
      <c r="B105" s="367"/>
      <c r="C105" s="367"/>
      <c r="D105" s="369"/>
      <c r="E105" s="366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9"/>
      <c r="BD105" s="366" t="s">
        <v>104</v>
      </c>
      <c r="BE105" s="367"/>
      <c r="BF105" s="367"/>
      <c r="BG105" s="367"/>
      <c r="BH105" s="367"/>
      <c r="BI105" s="367"/>
      <c r="BJ105" s="367"/>
      <c r="BK105" s="367"/>
      <c r="BL105" s="367"/>
      <c r="BM105" s="369"/>
      <c r="BN105" s="366" t="s">
        <v>105</v>
      </c>
      <c r="BO105" s="367"/>
      <c r="BP105" s="367"/>
      <c r="BQ105" s="367"/>
      <c r="BR105" s="367"/>
      <c r="BS105" s="367"/>
      <c r="BT105" s="367"/>
      <c r="BU105" s="367"/>
      <c r="BV105" s="367"/>
      <c r="BW105" s="367"/>
      <c r="BX105" s="367"/>
      <c r="BY105" s="367"/>
      <c r="BZ105" s="367"/>
      <c r="CA105" s="367"/>
      <c r="CB105" s="369"/>
      <c r="CC105" s="57" t="s">
        <v>153</v>
      </c>
      <c r="CD105" s="57" t="s">
        <v>211</v>
      </c>
      <c r="CE105" s="57" t="s">
        <v>413</v>
      </c>
      <c r="CF105" s="231" t="s">
        <v>390</v>
      </c>
    </row>
    <row r="106" spans="1:84" s="14" customFormat="1" ht="17.25" customHeight="1">
      <c r="A106" s="540">
        <v>1</v>
      </c>
      <c r="B106" s="541"/>
      <c r="C106" s="541"/>
      <c r="D106" s="542"/>
      <c r="E106" s="510" t="s">
        <v>162</v>
      </c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511"/>
      <c r="AC106" s="511"/>
      <c r="AD106" s="511"/>
      <c r="AE106" s="511"/>
      <c r="AF106" s="511"/>
      <c r="AG106" s="511"/>
      <c r="AH106" s="511"/>
      <c r="AI106" s="511"/>
      <c r="AJ106" s="511"/>
      <c r="AK106" s="511"/>
      <c r="AL106" s="511"/>
      <c r="AM106" s="511"/>
      <c r="AN106" s="511"/>
      <c r="AO106" s="511"/>
      <c r="AP106" s="511"/>
      <c r="AQ106" s="511"/>
      <c r="AR106" s="511"/>
      <c r="AS106" s="511"/>
      <c r="AT106" s="511"/>
      <c r="AU106" s="511"/>
      <c r="AV106" s="511"/>
      <c r="AW106" s="511"/>
      <c r="AX106" s="511"/>
      <c r="AY106" s="511"/>
      <c r="AZ106" s="511"/>
      <c r="BA106" s="511"/>
      <c r="BB106" s="511"/>
      <c r="BC106" s="512"/>
      <c r="BD106" s="507"/>
      <c r="BE106" s="508"/>
      <c r="BF106" s="508"/>
      <c r="BG106" s="508"/>
      <c r="BH106" s="508"/>
      <c r="BI106" s="508"/>
      <c r="BJ106" s="508"/>
      <c r="BK106" s="508"/>
      <c r="BL106" s="508"/>
      <c r="BM106" s="509"/>
      <c r="BN106" s="485">
        <f>10400-2184.44</f>
        <v>8215.56</v>
      </c>
      <c r="BO106" s="486"/>
      <c r="BP106" s="486"/>
      <c r="BQ106" s="486"/>
      <c r="BR106" s="486"/>
      <c r="BS106" s="486"/>
      <c r="BT106" s="486"/>
      <c r="BU106" s="486"/>
      <c r="BV106" s="486"/>
      <c r="BW106" s="486"/>
      <c r="BX106" s="486"/>
      <c r="BY106" s="486"/>
      <c r="BZ106" s="486"/>
      <c r="CA106" s="486"/>
      <c r="CB106" s="487"/>
      <c r="CC106" s="55"/>
      <c r="CD106" s="55"/>
      <c r="CE106" s="55">
        <f>CC106-CD106</f>
        <v>0</v>
      </c>
      <c r="CF106" s="183">
        <f>BN106-CC106</f>
        <v>8215.56</v>
      </c>
    </row>
    <row r="107" spans="1:84" s="14" customFormat="1" ht="17.25" customHeight="1">
      <c r="A107" s="576">
        <v>2</v>
      </c>
      <c r="B107" s="589"/>
      <c r="C107" s="589"/>
      <c r="D107" s="590"/>
      <c r="E107" s="510" t="s">
        <v>163</v>
      </c>
      <c r="F107" s="587"/>
      <c r="G107" s="587"/>
      <c r="H107" s="587"/>
      <c r="I107" s="587"/>
      <c r="J107" s="587"/>
      <c r="K107" s="587"/>
      <c r="L107" s="587"/>
      <c r="M107" s="587"/>
      <c r="N107" s="587"/>
      <c r="O107" s="587"/>
      <c r="P107" s="587"/>
      <c r="Q107" s="587"/>
      <c r="R107" s="587"/>
      <c r="S107" s="587"/>
      <c r="T107" s="587"/>
      <c r="U107" s="587"/>
      <c r="V107" s="587"/>
      <c r="W107" s="587"/>
      <c r="X107" s="587"/>
      <c r="Y107" s="587"/>
      <c r="Z107" s="587"/>
      <c r="AA107" s="587"/>
      <c r="AB107" s="587"/>
      <c r="AC107" s="587"/>
      <c r="AD107" s="587"/>
      <c r="AE107" s="587"/>
      <c r="AF107" s="587"/>
      <c r="AG107" s="587"/>
      <c r="AH107" s="587"/>
      <c r="AI107" s="587"/>
      <c r="AJ107" s="587"/>
      <c r="AK107" s="587"/>
      <c r="AL107" s="587"/>
      <c r="AM107" s="587"/>
      <c r="AN107" s="587"/>
      <c r="AO107" s="587"/>
      <c r="AP107" s="587"/>
      <c r="AQ107" s="587"/>
      <c r="AR107" s="587"/>
      <c r="AS107" s="587"/>
      <c r="AT107" s="587"/>
      <c r="AU107" s="587"/>
      <c r="AV107" s="587"/>
      <c r="AW107" s="587"/>
      <c r="AX107" s="587"/>
      <c r="AY107" s="587"/>
      <c r="AZ107" s="587"/>
      <c r="BA107" s="587"/>
      <c r="BB107" s="587"/>
      <c r="BC107" s="588"/>
      <c r="BD107" s="507"/>
      <c r="BE107" s="579"/>
      <c r="BF107" s="579"/>
      <c r="BG107" s="579"/>
      <c r="BH107" s="579"/>
      <c r="BI107" s="579"/>
      <c r="BJ107" s="579"/>
      <c r="BK107" s="579"/>
      <c r="BL107" s="579"/>
      <c r="BM107" s="580"/>
      <c r="BN107" s="485">
        <v>1560</v>
      </c>
      <c r="BO107" s="486"/>
      <c r="BP107" s="486"/>
      <c r="BQ107" s="486"/>
      <c r="BR107" s="486"/>
      <c r="BS107" s="486"/>
      <c r="BT107" s="486"/>
      <c r="BU107" s="486"/>
      <c r="BV107" s="486"/>
      <c r="BW107" s="486"/>
      <c r="BX107" s="486"/>
      <c r="BY107" s="486"/>
      <c r="BZ107" s="486"/>
      <c r="CA107" s="486"/>
      <c r="CB107" s="487"/>
      <c r="CC107" s="55"/>
      <c r="CD107" s="55"/>
      <c r="CE107" s="55">
        <f>CC107-CD107</f>
        <v>0</v>
      </c>
      <c r="CF107" s="183">
        <f>BN107-CC107</f>
        <v>1560</v>
      </c>
    </row>
    <row r="108" spans="1:84" s="14" customFormat="1" ht="17.25" customHeight="1">
      <c r="A108" s="540">
        <v>3</v>
      </c>
      <c r="B108" s="541"/>
      <c r="C108" s="541"/>
      <c r="D108" s="542"/>
      <c r="E108" s="510" t="s">
        <v>368</v>
      </c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  <c r="Q108" s="511"/>
      <c r="R108" s="511"/>
      <c r="S108" s="511"/>
      <c r="T108" s="511"/>
      <c r="U108" s="511"/>
      <c r="V108" s="511"/>
      <c r="W108" s="511"/>
      <c r="X108" s="511"/>
      <c r="Y108" s="511"/>
      <c r="Z108" s="511"/>
      <c r="AA108" s="511"/>
      <c r="AB108" s="511"/>
      <c r="AC108" s="511"/>
      <c r="AD108" s="511"/>
      <c r="AE108" s="511"/>
      <c r="AF108" s="511"/>
      <c r="AG108" s="511"/>
      <c r="AH108" s="511"/>
      <c r="AI108" s="511"/>
      <c r="AJ108" s="511"/>
      <c r="AK108" s="511"/>
      <c r="AL108" s="511"/>
      <c r="AM108" s="511"/>
      <c r="AN108" s="511"/>
      <c r="AO108" s="511"/>
      <c r="AP108" s="511"/>
      <c r="AQ108" s="511"/>
      <c r="AR108" s="511"/>
      <c r="AS108" s="511"/>
      <c r="AT108" s="511"/>
      <c r="AU108" s="511"/>
      <c r="AV108" s="511"/>
      <c r="AW108" s="511"/>
      <c r="AX108" s="511"/>
      <c r="AY108" s="511"/>
      <c r="AZ108" s="511"/>
      <c r="BA108" s="511"/>
      <c r="BB108" s="511"/>
      <c r="BC108" s="512"/>
      <c r="BD108" s="507"/>
      <c r="BE108" s="508"/>
      <c r="BF108" s="508"/>
      <c r="BG108" s="508"/>
      <c r="BH108" s="508"/>
      <c r="BI108" s="508"/>
      <c r="BJ108" s="508"/>
      <c r="BK108" s="508"/>
      <c r="BL108" s="508"/>
      <c r="BM108" s="509"/>
      <c r="BN108" s="485">
        <f>5272.8-5272.8</f>
        <v>0</v>
      </c>
      <c r="BO108" s="486"/>
      <c r="BP108" s="486"/>
      <c r="BQ108" s="486"/>
      <c r="BR108" s="486"/>
      <c r="BS108" s="486"/>
      <c r="BT108" s="486"/>
      <c r="BU108" s="486"/>
      <c r="BV108" s="486"/>
      <c r="BW108" s="486"/>
      <c r="BX108" s="486"/>
      <c r="BY108" s="486"/>
      <c r="BZ108" s="486"/>
      <c r="CA108" s="486"/>
      <c r="CB108" s="487"/>
      <c r="CC108" s="55"/>
      <c r="CD108" s="55"/>
      <c r="CE108" s="55">
        <f>CC108-CD108</f>
        <v>0</v>
      </c>
      <c r="CF108" s="183">
        <f>BN108-CC108</f>
        <v>0</v>
      </c>
    </row>
    <row r="109" spans="1:84" s="14" customFormat="1" ht="17.25" customHeight="1">
      <c r="A109" s="540">
        <v>4</v>
      </c>
      <c r="B109" s="541"/>
      <c r="C109" s="541"/>
      <c r="D109" s="542"/>
      <c r="E109" s="510" t="s">
        <v>437</v>
      </c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  <c r="Q109" s="511"/>
      <c r="R109" s="511"/>
      <c r="S109" s="511"/>
      <c r="T109" s="511"/>
      <c r="U109" s="511"/>
      <c r="V109" s="511"/>
      <c r="W109" s="511"/>
      <c r="X109" s="511"/>
      <c r="Y109" s="511"/>
      <c r="Z109" s="511"/>
      <c r="AA109" s="511"/>
      <c r="AB109" s="511"/>
      <c r="AC109" s="511"/>
      <c r="AD109" s="511"/>
      <c r="AE109" s="511"/>
      <c r="AF109" s="511"/>
      <c r="AG109" s="511"/>
      <c r="AH109" s="511"/>
      <c r="AI109" s="511"/>
      <c r="AJ109" s="511"/>
      <c r="AK109" s="511"/>
      <c r="AL109" s="511"/>
      <c r="AM109" s="511"/>
      <c r="AN109" s="511"/>
      <c r="AO109" s="511"/>
      <c r="AP109" s="511"/>
      <c r="AQ109" s="511"/>
      <c r="AR109" s="511"/>
      <c r="AS109" s="511"/>
      <c r="AT109" s="511"/>
      <c r="AU109" s="511"/>
      <c r="AV109" s="511"/>
      <c r="AW109" s="511"/>
      <c r="AX109" s="511"/>
      <c r="AY109" s="511"/>
      <c r="AZ109" s="511"/>
      <c r="BA109" s="511"/>
      <c r="BB109" s="511"/>
      <c r="BC109" s="512"/>
      <c r="BD109" s="507"/>
      <c r="BE109" s="508"/>
      <c r="BF109" s="508"/>
      <c r="BG109" s="508"/>
      <c r="BH109" s="508"/>
      <c r="BI109" s="508"/>
      <c r="BJ109" s="508"/>
      <c r="BK109" s="508"/>
      <c r="BL109" s="508"/>
      <c r="BM109" s="509"/>
      <c r="BN109" s="485">
        <f>5272.8+2184.44</f>
        <v>7457.24</v>
      </c>
      <c r="BO109" s="486"/>
      <c r="BP109" s="486"/>
      <c r="BQ109" s="486"/>
      <c r="BR109" s="486"/>
      <c r="BS109" s="486"/>
      <c r="BT109" s="486"/>
      <c r="BU109" s="486"/>
      <c r="BV109" s="486"/>
      <c r="BW109" s="486"/>
      <c r="BX109" s="486"/>
      <c r="BY109" s="486"/>
      <c r="BZ109" s="486"/>
      <c r="CA109" s="486"/>
      <c r="CB109" s="487"/>
      <c r="CC109" s="55">
        <v>7457.24</v>
      </c>
      <c r="CD109" s="55">
        <f>2000+5457.24</f>
        <v>7457.24</v>
      </c>
      <c r="CE109" s="55">
        <f>CC109-CD109</f>
        <v>0</v>
      </c>
      <c r="CF109" s="183">
        <f>BN109-CC109</f>
        <v>0</v>
      </c>
    </row>
    <row r="110" spans="1:84" s="155" customFormat="1" ht="12.75">
      <c r="A110" s="443"/>
      <c r="B110" s="444"/>
      <c r="C110" s="444"/>
      <c r="D110" s="445"/>
      <c r="E110" s="432" t="s">
        <v>10</v>
      </c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  <c r="AI110" s="433"/>
      <c r="AJ110" s="433"/>
      <c r="AK110" s="433"/>
      <c r="AL110" s="433"/>
      <c r="AM110" s="433"/>
      <c r="AN110" s="433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433"/>
      <c r="BC110" s="434"/>
      <c r="BD110" s="429" t="s">
        <v>11</v>
      </c>
      <c r="BE110" s="430"/>
      <c r="BF110" s="430"/>
      <c r="BG110" s="430"/>
      <c r="BH110" s="430"/>
      <c r="BI110" s="430"/>
      <c r="BJ110" s="430"/>
      <c r="BK110" s="430"/>
      <c r="BL110" s="430"/>
      <c r="BM110" s="431"/>
      <c r="BN110" s="372">
        <f>SUM(BN106:CB109)</f>
        <v>17232.8</v>
      </c>
      <c r="BO110" s="373"/>
      <c r="BP110" s="373"/>
      <c r="BQ110" s="373"/>
      <c r="BR110" s="373"/>
      <c r="BS110" s="373"/>
      <c r="BT110" s="373"/>
      <c r="BU110" s="373"/>
      <c r="BV110" s="373"/>
      <c r="BW110" s="373"/>
      <c r="BX110" s="373"/>
      <c r="BY110" s="373"/>
      <c r="BZ110" s="373"/>
      <c r="CA110" s="373"/>
      <c r="CB110" s="373"/>
      <c r="CC110" s="197"/>
      <c r="CD110" s="197"/>
      <c r="CE110" s="197"/>
      <c r="CF110" s="237"/>
    </row>
    <row r="111" spans="81:84" s="1" customFormat="1" ht="15.75">
      <c r="CC111" s="190"/>
      <c r="CD111" s="238"/>
      <c r="CE111" s="238"/>
      <c r="CF111" s="239"/>
    </row>
    <row r="112" spans="75:86" ht="12.75">
      <c r="BW112" s="235"/>
      <c r="BX112" s="235"/>
      <c r="BY112" s="235"/>
      <c r="BZ112" s="235"/>
      <c r="CA112" s="235"/>
      <c r="CB112" s="235"/>
      <c r="CC112" s="236"/>
      <c r="CD112" s="236"/>
      <c r="CE112" s="236"/>
      <c r="CF112" s="235"/>
      <c r="CG112" s="235"/>
      <c r="CH112" s="235"/>
    </row>
    <row r="113" spans="75:86" ht="12.75">
      <c r="BW113" s="235"/>
      <c r="BX113" s="235"/>
      <c r="BY113" s="235"/>
      <c r="BZ113" s="235"/>
      <c r="CA113" s="235"/>
      <c r="CB113" s="235"/>
      <c r="CC113" s="236"/>
      <c r="CD113" s="236"/>
      <c r="CE113" s="236"/>
      <c r="CF113" s="235"/>
      <c r="CG113" s="235"/>
      <c r="CH113" s="235"/>
    </row>
    <row r="114" spans="75:86" ht="12.75">
      <c r="BW114" s="235"/>
      <c r="BX114" s="235"/>
      <c r="BY114" s="235"/>
      <c r="BZ114" s="235"/>
      <c r="CA114" s="235"/>
      <c r="CB114" s="235"/>
      <c r="CC114" s="236"/>
      <c r="CD114" s="236"/>
      <c r="CE114" s="236"/>
      <c r="CF114" s="235"/>
      <c r="CG114" s="235"/>
      <c r="CH114" s="235"/>
    </row>
    <row r="115" spans="75:86" ht="12.75">
      <c r="BW115" s="235"/>
      <c r="BX115" s="235"/>
      <c r="BY115" s="235"/>
      <c r="BZ115" s="235"/>
      <c r="CA115" s="235"/>
      <c r="CB115" s="235"/>
      <c r="CC115" s="236"/>
      <c r="CD115" s="236"/>
      <c r="CE115" s="236"/>
      <c r="CF115" s="235"/>
      <c r="CG115" s="235"/>
      <c r="CH115" s="235"/>
    </row>
    <row r="116" spans="75:86" ht="12.75">
      <c r="BW116" s="235"/>
      <c r="BX116" s="235"/>
      <c r="BY116" s="235"/>
      <c r="BZ116" s="235"/>
      <c r="CA116" s="235"/>
      <c r="CB116" s="235"/>
      <c r="CC116" s="236"/>
      <c r="CD116" s="236"/>
      <c r="CE116" s="236"/>
      <c r="CF116" s="235"/>
      <c r="CG116" s="235"/>
      <c r="CH116" s="235"/>
    </row>
    <row r="117" spans="75:86" ht="12.75">
      <c r="BW117" s="235"/>
      <c r="BX117" s="235"/>
      <c r="BY117" s="235"/>
      <c r="BZ117" s="235"/>
      <c r="CA117" s="235"/>
      <c r="CB117" s="235"/>
      <c r="CC117" s="236"/>
      <c r="CD117" s="236"/>
      <c r="CE117" s="236"/>
      <c r="CF117" s="235"/>
      <c r="CG117" s="235"/>
      <c r="CH117" s="235"/>
    </row>
    <row r="118" spans="75:86" ht="12.75">
      <c r="BW118" s="235"/>
      <c r="BX118" s="235"/>
      <c r="BY118" s="235"/>
      <c r="BZ118" s="235"/>
      <c r="CA118" s="235"/>
      <c r="CB118" s="235"/>
      <c r="CC118" s="236"/>
      <c r="CD118" s="236"/>
      <c r="CE118" s="236"/>
      <c r="CF118" s="235"/>
      <c r="CG118" s="235"/>
      <c r="CH118" s="235"/>
    </row>
    <row r="119" spans="75:86" ht="12.75">
      <c r="BW119" s="235"/>
      <c r="BX119" s="235"/>
      <c r="BY119" s="235"/>
      <c r="BZ119" s="235"/>
      <c r="CA119" s="235"/>
      <c r="CB119" s="235"/>
      <c r="CC119" s="236"/>
      <c r="CD119" s="236"/>
      <c r="CE119" s="236"/>
      <c r="CF119" s="235"/>
      <c r="CG119" s="235"/>
      <c r="CH119" s="235"/>
    </row>
    <row r="120" spans="75:86" ht="12.75">
      <c r="BW120" s="235"/>
      <c r="BX120" s="235"/>
      <c r="BY120" s="235"/>
      <c r="BZ120" s="235"/>
      <c r="CA120" s="235"/>
      <c r="CB120" s="235"/>
      <c r="CC120" s="236"/>
      <c r="CD120" s="236"/>
      <c r="CE120" s="236"/>
      <c r="CF120" s="235"/>
      <c r="CG120" s="235"/>
      <c r="CH120" s="235"/>
    </row>
    <row r="121" spans="75:86" ht="12.75">
      <c r="BW121" s="235"/>
      <c r="BX121" s="235"/>
      <c r="BY121" s="235"/>
      <c r="BZ121" s="235"/>
      <c r="CA121" s="235"/>
      <c r="CB121" s="235"/>
      <c r="CC121" s="236"/>
      <c r="CD121" s="236"/>
      <c r="CE121" s="236"/>
      <c r="CF121" s="235"/>
      <c r="CG121" s="235"/>
      <c r="CH121" s="235"/>
    </row>
    <row r="122" spans="75:86" ht="12.75">
      <c r="BW122" s="235"/>
      <c r="BX122" s="235"/>
      <c r="BY122" s="235"/>
      <c r="BZ122" s="235"/>
      <c r="CA122" s="235"/>
      <c r="CB122" s="235"/>
      <c r="CC122" s="236"/>
      <c r="CD122" s="236"/>
      <c r="CE122" s="236"/>
      <c r="CF122" s="235"/>
      <c r="CG122" s="235"/>
      <c r="CH122" s="235"/>
    </row>
    <row r="123" spans="75:86" ht="12.75">
      <c r="BW123" s="235"/>
      <c r="BX123" s="235"/>
      <c r="BY123" s="235"/>
      <c r="BZ123" s="235"/>
      <c r="CA123" s="235"/>
      <c r="CB123" s="235"/>
      <c r="CC123" s="236"/>
      <c r="CD123" s="236"/>
      <c r="CE123" s="236"/>
      <c r="CF123" s="235"/>
      <c r="CG123" s="235"/>
      <c r="CH123" s="235"/>
    </row>
    <row r="124" spans="75:86" ht="12.75">
      <c r="BW124" s="235"/>
      <c r="BX124" s="235"/>
      <c r="BY124" s="235"/>
      <c r="BZ124" s="235"/>
      <c r="CA124" s="235"/>
      <c r="CB124" s="235"/>
      <c r="CC124" s="236"/>
      <c r="CD124" s="236"/>
      <c r="CE124" s="236"/>
      <c r="CF124" s="235"/>
      <c r="CG124" s="235"/>
      <c r="CH124" s="235"/>
    </row>
    <row r="125" spans="75:86" ht="12.75">
      <c r="BW125" s="235"/>
      <c r="BX125" s="235"/>
      <c r="BY125" s="235"/>
      <c r="BZ125" s="235"/>
      <c r="CA125" s="235"/>
      <c r="CB125" s="235"/>
      <c r="CC125" s="236"/>
      <c r="CD125" s="236"/>
      <c r="CE125" s="236"/>
      <c r="CF125" s="235"/>
      <c r="CG125" s="235"/>
      <c r="CH125" s="235"/>
    </row>
    <row r="126" spans="75:86" ht="12.75">
      <c r="BW126" s="235"/>
      <c r="BX126" s="235"/>
      <c r="BY126" s="235"/>
      <c r="BZ126" s="235"/>
      <c r="CA126" s="235"/>
      <c r="CB126" s="235"/>
      <c r="CC126" s="236"/>
      <c r="CD126" s="236"/>
      <c r="CE126" s="236"/>
      <c r="CF126" s="235"/>
      <c r="CG126" s="235"/>
      <c r="CH126" s="235"/>
    </row>
    <row r="127" spans="75:86" ht="12.75">
      <c r="BW127" s="235"/>
      <c r="BX127" s="235"/>
      <c r="BY127" s="235"/>
      <c r="BZ127" s="235"/>
      <c r="CA127" s="235"/>
      <c r="CB127" s="235"/>
      <c r="CC127" s="236"/>
      <c r="CD127" s="236"/>
      <c r="CE127" s="236"/>
      <c r="CF127" s="235"/>
      <c r="CG127" s="235"/>
      <c r="CH127" s="235"/>
    </row>
    <row r="128" spans="75:86" ht="12.75">
      <c r="BW128" s="235"/>
      <c r="BX128" s="235"/>
      <c r="BY128" s="235"/>
      <c r="BZ128" s="235"/>
      <c r="CA128" s="235"/>
      <c r="CB128" s="235"/>
      <c r="CC128" s="236"/>
      <c r="CD128" s="236"/>
      <c r="CE128" s="236"/>
      <c r="CF128" s="235"/>
      <c r="CG128" s="235"/>
      <c r="CH128" s="235"/>
    </row>
    <row r="129" spans="75:86" ht="12.75">
      <c r="BW129" s="235"/>
      <c r="BX129" s="235"/>
      <c r="BY129" s="235"/>
      <c r="BZ129" s="235"/>
      <c r="CA129" s="235"/>
      <c r="CB129" s="235"/>
      <c r="CC129" s="236"/>
      <c r="CD129" s="236"/>
      <c r="CE129" s="236"/>
      <c r="CF129" s="235"/>
      <c r="CG129" s="235"/>
      <c r="CH129" s="235"/>
    </row>
    <row r="130" spans="75:86" ht="12.75">
      <c r="BW130" s="235"/>
      <c r="BX130" s="235"/>
      <c r="BY130" s="235"/>
      <c r="BZ130" s="235"/>
      <c r="CA130" s="235"/>
      <c r="CB130" s="235"/>
      <c r="CC130" s="236"/>
      <c r="CD130" s="236"/>
      <c r="CE130" s="236"/>
      <c r="CF130" s="235"/>
      <c r="CG130" s="235"/>
      <c r="CH130" s="235"/>
    </row>
    <row r="131" spans="75:86" ht="12.75">
      <c r="BW131" s="235"/>
      <c r="BX131" s="235"/>
      <c r="BY131" s="235"/>
      <c r="BZ131" s="235"/>
      <c r="CA131" s="235"/>
      <c r="CB131" s="235"/>
      <c r="CC131" s="236"/>
      <c r="CD131" s="236"/>
      <c r="CE131" s="236"/>
      <c r="CF131" s="235"/>
      <c r="CG131" s="235"/>
      <c r="CH131" s="235"/>
    </row>
    <row r="132" spans="75:86" ht="12.75">
      <c r="BW132" s="235"/>
      <c r="BX132" s="235"/>
      <c r="BY132" s="235"/>
      <c r="BZ132" s="235"/>
      <c r="CA132" s="235"/>
      <c r="CB132" s="235"/>
      <c r="CC132" s="236"/>
      <c r="CD132" s="236"/>
      <c r="CE132" s="236"/>
      <c r="CF132" s="235"/>
      <c r="CG132" s="235"/>
      <c r="CH132" s="235"/>
    </row>
    <row r="133" spans="75:86" ht="12.75">
      <c r="BW133" s="235"/>
      <c r="BX133" s="235"/>
      <c r="BY133" s="235"/>
      <c r="BZ133" s="235"/>
      <c r="CA133" s="235"/>
      <c r="CB133" s="235"/>
      <c r="CC133" s="236"/>
      <c r="CD133" s="236"/>
      <c r="CE133" s="236"/>
      <c r="CF133" s="235"/>
      <c r="CG133" s="235"/>
      <c r="CH133" s="235"/>
    </row>
    <row r="134" spans="75:86" ht="12.75">
      <c r="BW134" s="235"/>
      <c r="BX134" s="235"/>
      <c r="BY134" s="235"/>
      <c r="BZ134" s="235"/>
      <c r="CA134" s="235"/>
      <c r="CB134" s="235"/>
      <c r="CC134" s="236"/>
      <c r="CD134" s="236"/>
      <c r="CE134" s="236"/>
      <c r="CF134" s="235"/>
      <c r="CG134" s="235"/>
      <c r="CH134" s="235"/>
    </row>
    <row r="135" spans="75:86" ht="12.75">
      <c r="BW135" s="235"/>
      <c r="BX135" s="235"/>
      <c r="BY135" s="235"/>
      <c r="BZ135" s="235"/>
      <c r="CA135" s="235"/>
      <c r="CB135" s="235"/>
      <c r="CC135" s="236"/>
      <c r="CD135" s="236"/>
      <c r="CE135" s="236"/>
      <c r="CF135" s="235"/>
      <c r="CG135" s="235"/>
      <c r="CH135" s="235"/>
    </row>
    <row r="136" spans="75:86" ht="12.75">
      <c r="BW136" s="235"/>
      <c r="BX136" s="235"/>
      <c r="BY136" s="235"/>
      <c r="BZ136" s="235"/>
      <c r="CA136" s="235"/>
      <c r="CB136" s="235"/>
      <c r="CC136" s="236"/>
      <c r="CD136" s="236"/>
      <c r="CE136" s="236"/>
      <c r="CF136" s="235"/>
      <c r="CG136" s="235"/>
      <c r="CH136" s="235"/>
    </row>
    <row r="137" spans="75:86" ht="12.75">
      <c r="BW137" s="235"/>
      <c r="BX137" s="235"/>
      <c r="BY137" s="235"/>
      <c r="BZ137" s="235"/>
      <c r="CA137" s="235"/>
      <c r="CB137" s="235"/>
      <c r="CC137" s="236"/>
      <c r="CD137" s="236"/>
      <c r="CE137" s="236"/>
      <c r="CF137" s="235"/>
      <c r="CG137" s="235"/>
      <c r="CH137" s="235"/>
    </row>
    <row r="138" spans="75:86" ht="12.75">
      <c r="BW138" s="235"/>
      <c r="BX138" s="235"/>
      <c r="BY138" s="235"/>
      <c r="BZ138" s="235"/>
      <c r="CA138" s="235"/>
      <c r="CB138" s="235"/>
      <c r="CC138" s="236"/>
      <c r="CD138" s="236"/>
      <c r="CE138" s="236"/>
      <c r="CF138" s="235"/>
      <c r="CG138" s="235"/>
      <c r="CH138" s="235"/>
    </row>
    <row r="139" spans="75:86" ht="12.75">
      <c r="BW139" s="235"/>
      <c r="BX139" s="235"/>
      <c r="BY139" s="235"/>
      <c r="BZ139" s="235"/>
      <c r="CA139" s="235"/>
      <c r="CB139" s="235"/>
      <c r="CC139" s="236"/>
      <c r="CD139" s="236"/>
      <c r="CE139" s="236"/>
      <c r="CF139" s="235"/>
      <c r="CG139" s="235"/>
      <c r="CH139" s="235"/>
    </row>
    <row r="140" spans="75:86" ht="12.75">
      <c r="BW140" s="235"/>
      <c r="BX140" s="235"/>
      <c r="BY140" s="235"/>
      <c r="BZ140" s="235"/>
      <c r="CA140" s="235"/>
      <c r="CB140" s="235"/>
      <c r="CC140" s="236"/>
      <c r="CD140" s="236"/>
      <c r="CE140" s="236"/>
      <c r="CF140" s="235"/>
      <c r="CG140" s="235"/>
      <c r="CH140" s="235"/>
    </row>
    <row r="141" spans="75:86" ht="12.75">
      <c r="BW141" s="235"/>
      <c r="BX141" s="235"/>
      <c r="BY141" s="235"/>
      <c r="BZ141" s="235"/>
      <c r="CA141" s="235"/>
      <c r="CB141" s="235"/>
      <c r="CC141" s="236"/>
      <c r="CD141" s="236"/>
      <c r="CE141" s="236"/>
      <c r="CF141" s="235"/>
      <c r="CG141" s="235"/>
      <c r="CH141" s="235"/>
    </row>
    <row r="142" spans="75:86" ht="12.75">
      <c r="BW142" s="235"/>
      <c r="BX142" s="235"/>
      <c r="BY142" s="235"/>
      <c r="BZ142" s="235"/>
      <c r="CA142" s="235"/>
      <c r="CB142" s="235"/>
      <c r="CC142" s="236"/>
      <c r="CD142" s="236"/>
      <c r="CE142" s="236"/>
      <c r="CF142" s="235"/>
      <c r="CG142" s="235"/>
      <c r="CH142" s="235"/>
    </row>
    <row r="143" spans="75:86" ht="12.75">
      <c r="BW143" s="235"/>
      <c r="BX143" s="235"/>
      <c r="BY143" s="235"/>
      <c r="BZ143" s="235"/>
      <c r="CA143" s="235"/>
      <c r="CB143" s="235"/>
      <c r="CC143" s="236"/>
      <c r="CD143" s="236"/>
      <c r="CE143" s="236"/>
      <c r="CF143" s="235"/>
      <c r="CG143" s="235"/>
      <c r="CH143" s="235"/>
    </row>
    <row r="144" spans="75:86" ht="12.75">
      <c r="BW144" s="235"/>
      <c r="BX144" s="235"/>
      <c r="BY144" s="235"/>
      <c r="BZ144" s="235"/>
      <c r="CA144" s="235"/>
      <c r="CB144" s="235"/>
      <c r="CC144" s="236"/>
      <c r="CD144" s="236"/>
      <c r="CE144" s="236"/>
      <c r="CF144" s="235"/>
      <c r="CG144" s="235"/>
      <c r="CH144" s="235"/>
    </row>
    <row r="145" spans="75:86" ht="12.75">
      <c r="BW145" s="235"/>
      <c r="BX145" s="235"/>
      <c r="BY145" s="235"/>
      <c r="BZ145" s="235"/>
      <c r="CA145" s="235"/>
      <c r="CB145" s="235"/>
      <c r="CC145" s="236"/>
      <c r="CD145" s="236"/>
      <c r="CE145" s="236"/>
      <c r="CF145" s="235"/>
      <c r="CG145" s="235"/>
      <c r="CH145" s="235"/>
    </row>
    <row r="146" spans="75:86" ht="12.75">
      <c r="BW146" s="235"/>
      <c r="BX146" s="235"/>
      <c r="BY146" s="235"/>
      <c r="BZ146" s="235"/>
      <c r="CA146" s="235"/>
      <c r="CB146" s="235"/>
      <c r="CC146" s="236"/>
      <c r="CD146" s="236"/>
      <c r="CE146" s="236"/>
      <c r="CF146" s="235"/>
      <c r="CG146" s="235"/>
      <c r="CH146" s="235"/>
    </row>
    <row r="147" spans="75:86" ht="12.75">
      <c r="BW147" s="235"/>
      <c r="BX147" s="235"/>
      <c r="BY147" s="235"/>
      <c r="BZ147" s="235"/>
      <c r="CA147" s="235"/>
      <c r="CB147" s="235"/>
      <c r="CC147" s="236"/>
      <c r="CD147" s="236"/>
      <c r="CE147" s="236"/>
      <c r="CF147" s="235"/>
      <c r="CG147" s="235"/>
      <c r="CH147" s="235"/>
    </row>
    <row r="148" spans="75:86" ht="12.75">
      <c r="BW148" s="235"/>
      <c r="BX148" s="235"/>
      <c r="BY148" s="235"/>
      <c r="BZ148" s="235"/>
      <c r="CA148" s="235"/>
      <c r="CB148" s="235"/>
      <c r="CC148" s="236"/>
      <c r="CD148" s="236"/>
      <c r="CE148" s="236"/>
      <c r="CF148" s="235"/>
      <c r="CG148" s="235"/>
      <c r="CH148" s="235"/>
    </row>
    <row r="149" spans="75:86" ht="12.75">
      <c r="BW149" s="235"/>
      <c r="BX149" s="235"/>
      <c r="BY149" s="235"/>
      <c r="BZ149" s="235"/>
      <c r="CA149" s="235"/>
      <c r="CB149" s="235"/>
      <c r="CC149" s="236"/>
      <c r="CD149" s="236"/>
      <c r="CE149" s="236"/>
      <c r="CF149" s="235"/>
      <c r="CG149" s="235"/>
      <c r="CH149" s="235"/>
    </row>
    <row r="150" spans="75:86" ht="12.75">
      <c r="BW150" s="235"/>
      <c r="BX150" s="235"/>
      <c r="BY150" s="235"/>
      <c r="BZ150" s="235"/>
      <c r="CA150" s="235"/>
      <c r="CB150" s="235"/>
      <c r="CC150" s="236"/>
      <c r="CD150" s="236"/>
      <c r="CE150" s="236"/>
      <c r="CF150" s="235"/>
      <c r="CG150" s="235"/>
      <c r="CH150" s="235"/>
    </row>
    <row r="151" spans="81:84" ht="12.75">
      <c r="CC151" s="233"/>
      <c r="CD151" s="233"/>
      <c r="CE151" s="233"/>
      <c r="CF151" s="234"/>
    </row>
    <row r="152" ht="12.75">
      <c r="CF152" s="182"/>
    </row>
    <row r="153" ht="12.75">
      <c r="CF153" s="182"/>
    </row>
    <row r="154" ht="12.75">
      <c r="CF154" s="182"/>
    </row>
  </sheetData>
  <sheetProtection/>
  <mergeCells count="421">
    <mergeCell ref="A109:D109"/>
    <mergeCell ref="E109:BC109"/>
    <mergeCell ref="BD109:BM109"/>
    <mergeCell ref="BN109:CB109"/>
    <mergeCell ref="E70:AM70"/>
    <mergeCell ref="AN70:BC70"/>
    <mergeCell ref="BD70:BM70"/>
    <mergeCell ref="BN70:CB70"/>
    <mergeCell ref="A70:D70"/>
    <mergeCell ref="BD75:BM75"/>
    <mergeCell ref="BD71:BM71"/>
    <mergeCell ref="AN71:BC71"/>
    <mergeCell ref="A73:CB73"/>
    <mergeCell ref="AN72:BC72"/>
    <mergeCell ref="BN71:CB71"/>
    <mergeCell ref="A72:D72"/>
    <mergeCell ref="BN107:CB107"/>
    <mergeCell ref="E105:BC105"/>
    <mergeCell ref="A87:D87"/>
    <mergeCell ref="BN69:CB69"/>
    <mergeCell ref="BN89:CB89"/>
    <mergeCell ref="E83:BC83"/>
    <mergeCell ref="BD84:BM84"/>
    <mergeCell ref="A88:D88"/>
    <mergeCell ref="BN87:CB87"/>
    <mergeCell ref="BD78:BM78"/>
    <mergeCell ref="A110:D110"/>
    <mergeCell ref="E110:BC110"/>
    <mergeCell ref="BD110:BM110"/>
    <mergeCell ref="BN110:CB110"/>
    <mergeCell ref="BN106:CB106"/>
    <mergeCell ref="BN99:CB99"/>
    <mergeCell ref="A99:D99"/>
    <mergeCell ref="E100:BC100"/>
    <mergeCell ref="A105:D105"/>
    <mergeCell ref="BN105:CB105"/>
    <mergeCell ref="E75:BC75"/>
    <mergeCell ref="E93:BC93"/>
    <mergeCell ref="BD90:BM90"/>
    <mergeCell ref="E77:BC77"/>
    <mergeCell ref="BD79:BM79"/>
    <mergeCell ref="BN91:CB91"/>
    <mergeCell ref="BN88:CB88"/>
    <mergeCell ref="E91:BC91"/>
    <mergeCell ref="E87:BC87"/>
    <mergeCell ref="BN85:CB85"/>
    <mergeCell ref="BD96:BM96"/>
    <mergeCell ref="BN96:CB96"/>
    <mergeCell ref="BN90:CB90"/>
    <mergeCell ref="BN93:CB93"/>
    <mergeCell ref="BD88:BM88"/>
    <mergeCell ref="BN95:CB95"/>
    <mergeCell ref="BN94:CB94"/>
    <mergeCell ref="BD95:BM95"/>
    <mergeCell ref="A92:D92"/>
    <mergeCell ref="E92:BC92"/>
    <mergeCell ref="BN104:CB104"/>
    <mergeCell ref="BD104:BM104"/>
    <mergeCell ref="BD99:BM99"/>
    <mergeCell ref="BN100:CB100"/>
    <mergeCell ref="BD97:BM97"/>
    <mergeCell ref="BN97:CB97"/>
    <mergeCell ref="E96:BC96"/>
    <mergeCell ref="E97:BC97"/>
    <mergeCell ref="A95:D95"/>
    <mergeCell ref="E95:BC95"/>
    <mergeCell ref="A97:D97"/>
    <mergeCell ref="A107:D107"/>
    <mergeCell ref="A91:D91"/>
    <mergeCell ref="E94:BC94"/>
    <mergeCell ref="A104:D104"/>
    <mergeCell ref="E104:BC104"/>
    <mergeCell ref="A100:D100"/>
    <mergeCell ref="E106:BC106"/>
    <mergeCell ref="BD108:BM108"/>
    <mergeCell ref="E107:BC107"/>
    <mergeCell ref="BD89:BM89"/>
    <mergeCell ref="BD106:BM106"/>
    <mergeCell ref="E88:BC88"/>
    <mergeCell ref="BD93:BM93"/>
    <mergeCell ref="E90:BC90"/>
    <mergeCell ref="BD105:BM105"/>
    <mergeCell ref="A102:CB102"/>
    <mergeCell ref="E108:BC108"/>
    <mergeCell ref="BN108:CB108"/>
    <mergeCell ref="BD107:BM107"/>
    <mergeCell ref="BD94:BM94"/>
    <mergeCell ref="BD91:BM91"/>
    <mergeCell ref="A94:D94"/>
    <mergeCell ref="A108:D108"/>
    <mergeCell ref="E99:BC99"/>
    <mergeCell ref="BD100:BM100"/>
    <mergeCell ref="A106:D106"/>
    <mergeCell ref="BN92:CB92"/>
    <mergeCell ref="A79:D79"/>
    <mergeCell ref="E86:BC86"/>
    <mergeCell ref="E89:BC89"/>
    <mergeCell ref="BD87:BM87"/>
    <mergeCell ref="E79:BC79"/>
    <mergeCell ref="E84:BC84"/>
    <mergeCell ref="BD83:BM83"/>
    <mergeCell ref="A83:D83"/>
    <mergeCell ref="A82:D82"/>
    <mergeCell ref="A90:D90"/>
    <mergeCell ref="A96:D96"/>
    <mergeCell ref="A86:D86"/>
    <mergeCell ref="A89:D89"/>
    <mergeCell ref="A93:D93"/>
    <mergeCell ref="BD69:BM69"/>
    <mergeCell ref="BD86:BM86"/>
    <mergeCell ref="A76:D76"/>
    <mergeCell ref="A80:D80"/>
    <mergeCell ref="E78:BC78"/>
    <mergeCell ref="E52:AM52"/>
    <mergeCell ref="E65:AM65"/>
    <mergeCell ref="AN66:BC66"/>
    <mergeCell ref="E61:AM61"/>
    <mergeCell ref="BD64:BM64"/>
    <mergeCell ref="A61:D61"/>
    <mergeCell ref="A62:D62"/>
    <mergeCell ref="E62:AM62"/>
    <mergeCell ref="AN62:BC62"/>
    <mergeCell ref="BD62:BM62"/>
    <mergeCell ref="A63:D63"/>
    <mergeCell ref="E63:AM63"/>
    <mergeCell ref="A64:D64"/>
    <mergeCell ref="AN64:BC64"/>
    <mergeCell ref="AN61:BC61"/>
    <mergeCell ref="AN60:BC60"/>
    <mergeCell ref="A60:D60"/>
    <mergeCell ref="E60:AM60"/>
    <mergeCell ref="E42:AQ42"/>
    <mergeCell ref="A47:D47"/>
    <mergeCell ref="E59:AM59"/>
    <mergeCell ref="AN59:BC59"/>
    <mergeCell ref="AR46:BC46"/>
    <mergeCell ref="AN56:BC56"/>
    <mergeCell ref="E56:AM56"/>
    <mergeCell ref="A46:D46"/>
    <mergeCell ref="E58:AM58"/>
    <mergeCell ref="A58:D58"/>
    <mergeCell ref="AR43:BC43"/>
    <mergeCell ref="A59:D59"/>
    <mergeCell ref="BD46:BN46"/>
    <mergeCell ref="BD55:BM55"/>
    <mergeCell ref="A55:D55"/>
    <mergeCell ref="AN58:BC58"/>
    <mergeCell ref="BN54:CB54"/>
    <mergeCell ref="BD51:BM51"/>
    <mergeCell ref="A49:CB49"/>
    <mergeCell ref="BO46:CB46"/>
    <mergeCell ref="AU34:BD34"/>
    <mergeCell ref="BE34:BO34"/>
    <mergeCell ref="AU35:BD35"/>
    <mergeCell ref="BO41:CB41"/>
    <mergeCell ref="AU36:BD36"/>
    <mergeCell ref="BE36:BO36"/>
    <mergeCell ref="BP37:CB37"/>
    <mergeCell ref="BP35:CB35"/>
    <mergeCell ref="E43:AQ43"/>
    <mergeCell ref="AR45:BC45"/>
    <mergeCell ref="BP34:CB34"/>
    <mergeCell ref="BO45:CB45"/>
    <mergeCell ref="BO42:CB42"/>
    <mergeCell ref="AR41:BC41"/>
    <mergeCell ref="BD41:BN41"/>
    <mergeCell ref="BP36:CB36"/>
    <mergeCell ref="AJ36:AT36"/>
    <mergeCell ref="E44:AQ44"/>
    <mergeCell ref="A51:D51"/>
    <mergeCell ref="A53:D53"/>
    <mergeCell ref="A52:D52"/>
    <mergeCell ref="BO43:CB43"/>
    <mergeCell ref="BD52:BM52"/>
    <mergeCell ref="AN52:BC52"/>
    <mergeCell ref="BO44:CB44"/>
    <mergeCell ref="E45:AQ45"/>
    <mergeCell ref="A45:D45"/>
    <mergeCell ref="BD44:BN44"/>
    <mergeCell ref="A56:D56"/>
    <mergeCell ref="AN55:BC55"/>
    <mergeCell ref="E55:AM55"/>
    <mergeCell ref="AN53:BC53"/>
    <mergeCell ref="A57:D57"/>
    <mergeCell ref="BN51:CB51"/>
    <mergeCell ref="BN52:CB52"/>
    <mergeCell ref="BN53:CB53"/>
    <mergeCell ref="BN55:CB55"/>
    <mergeCell ref="AN51:BC51"/>
    <mergeCell ref="BN61:CB61"/>
    <mergeCell ref="BN58:CB58"/>
    <mergeCell ref="BD58:BM58"/>
    <mergeCell ref="BD60:BM60"/>
    <mergeCell ref="BD56:BM56"/>
    <mergeCell ref="BD59:BM59"/>
    <mergeCell ref="BD61:BM61"/>
    <mergeCell ref="A42:D42"/>
    <mergeCell ref="BN59:CB59"/>
    <mergeCell ref="BN60:CB60"/>
    <mergeCell ref="BD57:BM57"/>
    <mergeCell ref="BN57:CB57"/>
    <mergeCell ref="BE37:BO37"/>
    <mergeCell ref="AU37:BD37"/>
    <mergeCell ref="BD43:BN43"/>
    <mergeCell ref="BN56:CB56"/>
    <mergeCell ref="BO47:CB47"/>
    <mergeCell ref="AR44:BC44"/>
    <mergeCell ref="BD53:BM53"/>
    <mergeCell ref="E54:AM54"/>
    <mergeCell ref="AR47:BC47"/>
    <mergeCell ref="E53:AM53"/>
    <mergeCell ref="E47:AQ47"/>
    <mergeCell ref="BD47:BN47"/>
    <mergeCell ref="E46:AQ46"/>
    <mergeCell ref="AN54:BC54"/>
    <mergeCell ref="E51:AM51"/>
    <mergeCell ref="E33:AI33"/>
    <mergeCell ref="AJ33:AT33"/>
    <mergeCell ref="AU33:BD33"/>
    <mergeCell ref="BE33:BO33"/>
    <mergeCell ref="BP33:CB33"/>
    <mergeCell ref="AU32:BD32"/>
    <mergeCell ref="BE32:BO32"/>
    <mergeCell ref="A31:D31"/>
    <mergeCell ref="AU29:BD29"/>
    <mergeCell ref="BJ22:CB22"/>
    <mergeCell ref="E22:AM22"/>
    <mergeCell ref="AN25:AV25"/>
    <mergeCell ref="AJ30:AT30"/>
    <mergeCell ref="BP31:CB31"/>
    <mergeCell ref="BJ26:CB26"/>
    <mergeCell ref="E25:AM25"/>
    <mergeCell ref="AW26:BI26"/>
    <mergeCell ref="AJ15:AT15"/>
    <mergeCell ref="BP15:CB15"/>
    <mergeCell ref="A17:CB17"/>
    <mergeCell ref="A19:D19"/>
    <mergeCell ref="A29:D29"/>
    <mergeCell ref="BE14:BO14"/>
    <mergeCell ref="BP14:CB14"/>
    <mergeCell ref="AU14:BD14"/>
    <mergeCell ref="AU15:BD15"/>
    <mergeCell ref="AW19:BI19"/>
    <mergeCell ref="BJ19:CB19"/>
    <mergeCell ref="BE15:BO15"/>
    <mergeCell ref="BP12:CB12"/>
    <mergeCell ref="A20:D20"/>
    <mergeCell ref="A21:D21"/>
    <mergeCell ref="A24:D24"/>
    <mergeCell ref="E19:AM19"/>
    <mergeCell ref="E15:AI15"/>
    <mergeCell ref="AN19:AV19"/>
    <mergeCell ref="A15:D15"/>
    <mergeCell ref="AU11:BD11"/>
    <mergeCell ref="BE11:BO11"/>
    <mergeCell ref="E13:AI13"/>
    <mergeCell ref="AJ13:AT13"/>
    <mergeCell ref="A11:D11"/>
    <mergeCell ref="AU12:BD12"/>
    <mergeCell ref="BE12:BO12"/>
    <mergeCell ref="AJ12:AT12"/>
    <mergeCell ref="E12:AI12"/>
    <mergeCell ref="A12:D12"/>
    <mergeCell ref="A1:CB1"/>
    <mergeCell ref="S3:CB3"/>
    <mergeCell ref="AH5:CB5"/>
    <mergeCell ref="A10:D10"/>
    <mergeCell ref="A9:D9"/>
    <mergeCell ref="BP9:CB9"/>
    <mergeCell ref="AU10:BD10"/>
    <mergeCell ref="BE10:BO10"/>
    <mergeCell ref="BP10:CB10"/>
    <mergeCell ref="A7:CB7"/>
    <mergeCell ref="A13:D13"/>
    <mergeCell ref="A14:D14"/>
    <mergeCell ref="BP13:CB13"/>
    <mergeCell ref="E14:AI14"/>
    <mergeCell ref="AJ14:AT14"/>
    <mergeCell ref="E9:AI9"/>
    <mergeCell ref="E10:AI10"/>
    <mergeCell ref="AJ11:AT11"/>
    <mergeCell ref="E11:AI11"/>
    <mergeCell ref="AJ10:AT10"/>
    <mergeCell ref="AJ9:AT9"/>
    <mergeCell ref="A30:D30"/>
    <mergeCell ref="AU9:BD9"/>
    <mergeCell ref="BE9:BO9"/>
    <mergeCell ref="BP11:CB11"/>
    <mergeCell ref="E20:AM20"/>
    <mergeCell ref="AW20:BI20"/>
    <mergeCell ref="AN20:AV20"/>
    <mergeCell ref="BJ20:CB20"/>
    <mergeCell ref="AU13:BD13"/>
    <mergeCell ref="BE13:BO13"/>
    <mergeCell ref="E23:AM23"/>
    <mergeCell ref="BJ23:CB23"/>
    <mergeCell ref="BJ24:CB24"/>
    <mergeCell ref="BP30:CB30"/>
    <mergeCell ref="AN26:AV26"/>
    <mergeCell ref="AN23:AV23"/>
    <mergeCell ref="E26:AM26"/>
    <mergeCell ref="AW24:BI24"/>
    <mergeCell ref="AW23:BI23"/>
    <mergeCell ref="AW21:BI21"/>
    <mergeCell ref="BP29:CB29"/>
    <mergeCell ref="AW22:BI22"/>
    <mergeCell ref="A27:CB27"/>
    <mergeCell ref="A25:D25"/>
    <mergeCell ref="A22:D22"/>
    <mergeCell ref="A26:D26"/>
    <mergeCell ref="A23:D23"/>
    <mergeCell ref="BE29:BO29"/>
    <mergeCell ref="BJ21:CB21"/>
    <mergeCell ref="AJ34:AT34"/>
    <mergeCell ref="E24:AM24"/>
    <mergeCell ref="BJ25:CB25"/>
    <mergeCell ref="AW25:BI25"/>
    <mergeCell ref="BE30:BO30"/>
    <mergeCell ref="BE31:BO31"/>
    <mergeCell ref="AJ29:AT29"/>
    <mergeCell ref="AN24:AV24"/>
    <mergeCell ref="E29:AI29"/>
    <mergeCell ref="BP32:CB32"/>
    <mergeCell ref="A41:D41"/>
    <mergeCell ref="AJ31:AT31"/>
    <mergeCell ref="BD54:BM54"/>
    <mergeCell ref="BD45:BN45"/>
    <mergeCell ref="A44:D44"/>
    <mergeCell ref="E21:AM21"/>
    <mergeCell ref="AN21:AV21"/>
    <mergeCell ref="AN22:AV22"/>
    <mergeCell ref="E34:AI34"/>
    <mergeCell ref="E30:AI30"/>
    <mergeCell ref="AR42:BC42"/>
    <mergeCell ref="BD42:BN42"/>
    <mergeCell ref="E72:AM72"/>
    <mergeCell ref="E71:AM71"/>
    <mergeCell ref="AU31:BD31"/>
    <mergeCell ref="AU30:BD30"/>
    <mergeCell ref="E31:AI31"/>
    <mergeCell ref="E41:AQ41"/>
    <mergeCell ref="A39:CB39"/>
    <mergeCell ref="A37:D37"/>
    <mergeCell ref="A34:D34"/>
    <mergeCell ref="A32:D32"/>
    <mergeCell ref="E37:AI37"/>
    <mergeCell ref="E32:AI32"/>
    <mergeCell ref="AJ32:AT32"/>
    <mergeCell ref="E35:AI35"/>
    <mergeCell ref="AJ35:AT35"/>
    <mergeCell ref="A33:D33"/>
    <mergeCell ref="AJ37:AT37"/>
    <mergeCell ref="E36:AI36"/>
    <mergeCell ref="A36:D36"/>
    <mergeCell ref="A35:D35"/>
    <mergeCell ref="BE35:BO35"/>
    <mergeCell ref="A78:D78"/>
    <mergeCell ref="E76:BC76"/>
    <mergeCell ref="BD80:BM80"/>
    <mergeCell ref="BD68:BM68"/>
    <mergeCell ref="E66:AM66"/>
    <mergeCell ref="AN68:BC68"/>
    <mergeCell ref="E68:AM68"/>
    <mergeCell ref="A43:D43"/>
    <mergeCell ref="E57:AM57"/>
    <mergeCell ref="A77:D77"/>
    <mergeCell ref="A75:D75"/>
    <mergeCell ref="A71:D71"/>
    <mergeCell ref="AN57:BC57"/>
    <mergeCell ref="A66:D66"/>
    <mergeCell ref="A67:D67"/>
    <mergeCell ref="A65:D65"/>
    <mergeCell ref="A54:D54"/>
    <mergeCell ref="BN81:CB81"/>
    <mergeCell ref="A81:D81"/>
    <mergeCell ref="E80:BC80"/>
    <mergeCell ref="BN84:CB84"/>
    <mergeCell ref="A84:D84"/>
    <mergeCell ref="BD81:BM81"/>
    <mergeCell ref="BN83:CB83"/>
    <mergeCell ref="E81:BC81"/>
    <mergeCell ref="E67:AM67"/>
    <mergeCell ref="BD66:BM66"/>
    <mergeCell ref="BN62:CB62"/>
    <mergeCell ref="BN72:CB72"/>
    <mergeCell ref="BD67:BM67"/>
    <mergeCell ref="BN75:CB75"/>
    <mergeCell ref="BN63:CB63"/>
    <mergeCell ref="BD63:BM63"/>
    <mergeCell ref="E64:AM64"/>
    <mergeCell ref="BN65:CB65"/>
    <mergeCell ref="BN64:CB64"/>
    <mergeCell ref="BN79:CB79"/>
    <mergeCell ref="BN67:CB67"/>
    <mergeCell ref="BN76:CB76"/>
    <mergeCell ref="BN78:CB78"/>
    <mergeCell ref="BD77:BM77"/>
    <mergeCell ref="BD72:BM72"/>
    <mergeCell ref="BN68:CB68"/>
    <mergeCell ref="BN77:CB77"/>
    <mergeCell ref="BD76:BM76"/>
    <mergeCell ref="A98:D98"/>
    <mergeCell ref="E98:BC98"/>
    <mergeCell ref="BD98:BM98"/>
    <mergeCell ref="BN98:CB98"/>
    <mergeCell ref="BN66:CB66"/>
    <mergeCell ref="AN63:BC63"/>
    <mergeCell ref="AN65:BC65"/>
    <mergeCell ref="BD65:BM65"/>
    <mergeCell ref="A68:D68"/>
    <mergeCell ref="AN67:BC67"/>
    <mergeCell ref="AN69:BC69"/>
    <mergeCell ref="E69:AM69"/>
    <mergeCell ref="A69:D69"/>
    <mergeCell ref="BN86:CB86"/>
    <mergeCell ref="BN80:CB80"/>
    <mergeCell ref="A85:D85"/>
    <mergeCell ref="E82:BC82"/>
    <mergeCell ref="BN82:CB82"/>
    <mergeCell ref="E85:BC85"/>
    <mergeCell ref="BD85:BM8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2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2" max="7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F143"/>
  <sheetViews>
    <sheetView view="pageBreakPreview" zoomScaleSheetLayoutView="100" zoomScalePageLayoutView="0" workbookViewId="0" topLeftCell="A1">
      <selection activeCell="BH74" sqref="BH74:BR74"/>
    </sheetView>
  </sheetViews>
  <sheetFormatPr defaultColWidth="1.12109375" defaultRowHeight="12.75"/>
  <cols>
    <col min="1" max="2" width="1.12109375" style="119" customWidth="1"/>
    <col min="3" max="3" width="1.875" style="119" bestFit="1" customWidth="1"/>
    <col min="4" max="43" width="1.12109375" style="119" customWidth="1"/>
    <col min="44" max="44" width="6.875" style="119" customWidth="1"/>
    <col min="45" max="54" width="1.12109375" style="119" customWidth="1"/>
    <col min="55" max="55" width="6.375" style="119" customWidth="1"/>
    <col min="56" max="72" width="1.12109375" style="119" customWidth="1"/>
    <col min="73" max="73" width="10.00390625" style="119" bestFit="1" customWidth="1"/>
    <col min="74" max="76" width="1.12109375" style="119" customWidth="1"/>
    <col min="77" max="77" width="0.875" style="119" customWidth="1"/>
    <col min="78" max="80" width="1.12109375" style="119" hidden="1" customWidth="1"/>
    <col min="81" max="81" width="18.125" style="117" bestFit="1" customWidth="1"/>
    <col min="82" max="82" width="19.625" style="118" customWidth="1"/>
    <col min="83" max="83" width="22.375" style="118" customWidth="1"/>
    <col min="84" max="84" width="30.75390625" style="119" customWidth="1"/>
    <col min="85" max="85" width="16.125" style="119" customWidth="1"/>
    <col min="86" max="16384" width="1.12109375" style="119" customWidth="1"/>
  </cols>
  <sheetData>
    <row r="1" spans="1:84" s="114" customFormat="1" ht="15.75">
      <c r="A1" s="669" t="s">
        <v>401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669"/>
      <c r="T1" s="669"/>
      <c r="U1" s="669"/>
      <c r="V1" s="669"/>
      <c r="W1" s="669"/>
      <c r="X1" s="669"/>
      <c r="Y1" s="669"/>
      <c r="Z1" s="669"/>
      <c r="AA1" s="669"/>
      <c r="AB1" s="669"/>
      <c r="AC1" s="669"/>
      <c r="AD1" s="669"/>
      <c r="AE1" s="669"/>
      <c r="AF1" s="669"/>
      <c r="AG1" s="669"/>
      <c r="AH1" s="669"/>
      <c r="AI1" s="669"/>
      <c r="AJ1" s="669"/>
      <c r="AK1" s="669"/>
      <c r="AL1" s="669"/>
      <c r="AM1" s="669"/>
      <c r="AN1" s="669"/>
      <c r="AO1" s="669"/>
      <c r="AP1" s="669"/>
      <c r="AQ1" s="669"/>
      <c r="AR1" s="669"/>
      <c r="AS1" s="669"/>
      <c r="AT1" s="669"/>
      <c r="AU1" s="669"/>
      <c r="AV1" s="669"/>
      <c r="AW1" s="669"/>
      <c r="AX1" s="669"/>
      <c r="AY1" s="669"/>
      <c r="AZ1" s="669"/>
      <c r="BA1" s="669"/>
      <c r="BB1" s="669"/>
      <c r="BC1" s="669"/>
      <c r="BD1" s="669"/>
      <c r="BE1" s="669"/>
      <c r="BF1" s="669"/>
      <c r="BG1" s="669"/>
      <c r="BH1" s="669"/>
      <c r="BI1" s="669"/>
      <c r="BJ1" s="669"/>
      <c r="BK1" s="669"/>
      <c r="BL1" s="669"/>
      <c r="BM1" s="669"/>
      <c r="BN1" s="669"/>
      <c r="BO1" s="669"/>
      <c r="BP1" s="669"/>
      <c r="BQ1" s="669"/>
      <c r="BR1" s="669"/>
      <c r="BS1" s="669"/>
      <c r="BT1" s="669"/>
      <c r="BU1" s="669"/>
      <c r="BV1" s="669"/>
      <c r="BW1" s="669"/>
      <c r="BX1" s="669"/>
      <c r="BY1" s="669"/>
      <c r="BZ1" s="669"/>
      <c r="CA1" s="669"/>
      <c r="CB1" s="669"/>
      <c r="CC1" s="217"/>
      <c r="CD1" s="220"/>
      <c r="CE1" s="220"/>
      <c r="CF1" s="224"/>
    </row>
    <row r="2" spans="1:84" s="116" customFormat="1" ht="9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222"/>
      <c r="CD2" s="218"/>
      <c r="CE2" s="218"/>
      <c r="CF2" s="219"/>
    </row>
    <row r="3" spans="1:84" ht="12.75">
      <c r="A3" s="364" t="s">
        <v>5</v>
      </c>
      <c r="B3" s="365"/>
      <c r="C3" s="365"/>
      <c r="D3" s="368"/>
      <c r="E3" s="364" t="s">
        <v>13</v>
      </c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  <c r="AO3" s="365"/>
      <c r="AP3" s="365"/>
      <c r="AQ3" s="365"/>
      <c r="AR3" s="368"/>
      <c r="AS3" s="364" t="s">
        <v>18</v>
      </c>
      <c r="AT3" s="365"/>
      <c r="AU3" s="365"/>
      <c r="AV3" s="365"/>
      <c r="AW3" s="365"/>
      <c r="AX3" s="365"/>
      <c r="AY3" s="365"/>
      <c r="AZ3" s="365"/>
      <c r="BA3" s="365"/>
      <c r="BB3" s="368"/>
      <c r="BC3" s="364" t="s">
        <v>106</v>
      </c>
      <c r="BD3" s="365"/>
      <c r="BE3" s="365"/>
      <c r="BF3" s="365"/>
      <c r="BG3" s="365"/>
      <c r="BH3" s="365"/>
      <c r="BI3" s="365"/>
      <c r="BJ3" s="365"/>
      <c r="BK3" s="365"/>
      <c r="BL3" s="365"/>
      <c r="BM3" s="368"/>
      <c r="BN3" s="364" t="s">
        <v>22</v>
      </c>
      <c r="BO3" s="365"/>
      <c r="BP3" s="365"/>
      <c r="BQ3" s="365"/>
      <c r="BR3" s="365"/>
      <c r="BS3" s="365"/>
      <c r="BT3" s="365"/>
      <c r="BU3" s="365"/>
      <c r="BV3" s="365"/>
      <c r="BW3" s="365"/>
      <c r="BX3" s="365"/>
      <c r="BY3" s="365"/>
      <c r="BZ3" s="365"/>
      <c r="CA3" s="365"/>
      <c r="CB3" s="365"/>
      <c r="CC3" s="207"/>
      <c r="CD3" s="216"/>
      <c r="CE3" s="216"/>
      <c r="CF3" s="214"/>
    </row>
    <row r="4" spans="1:84" ht="12.75">
      <c r="A4" s="366" t="s">
        <v>6</v>
      </c>
      <c r="B4" s="367"/>
      <c r="C4" s="367"/>
      <c r="D4" s="369"/>
      <c r="E4" s="366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9"/>
      <c r="AS4" s="366"/>
      <c r="AT4" s="367"/>
      <c r="AU4" s="367"/>
      <c r="AV4" s="367"/>
      <c r="AW4" s="367"/>
      <c r="AX4" s="367"/>
      <c r="AY4" s="367"/>
      <c r="AZ4" s="367"/>
      <c r="BA4" s="367"/>
      <c r="BB4" s="369"/>
      <c r="BC4" s="366" t="s">
        <v>107</v>
      </c>
      <c r="BD4" s="367"/>
      <c r="BE4" s="367"/>
      <c r="BF4" s="367"/>
      <c r="BG4" s="367"/>
      <c r="BH4" s="367"/>
      <c r="BI4" s="367"/>
      <c r="BJ4" s="367"/>
      <c r="BK4" s="367"/>
      <c r="BL4" s="367"/>
      <c r="BM4" s="369"/>
      <c r="BN4" s="366" t="s">
        <v>117</v>
      </c>
      <c r="BO4" s="367"/>
      <c r="BP4" s="367"/>
      <c r="BQ4" s="367"/>
      <c r="BR4" s="367"/>
      <c r="BS4" s="367"/>
      <c r="BT4" s="367"/>
      <c r="BU4" s="367"/>
      <c r="BV4" s="367"/>
      <c r="BW4" s="367"/>
      <c r="BX4" s="367"/>
      <c r="BY4" s="367"/>
      <c r="BZ4" s="367"/>
      <c r="CA4" s="367"/>
      <c r="CB4" s="367"/>
      <c r="CC4" s="207"/>
      <c r="CD4" s="216"/>
      <c r="CE4" s="216"/>
      <c r="CF4" s="214"/>
    </row>
    <row r="5" spans="1:84" ht="12.75">
      <c r="A5" s="366"/>
      <c r="B5" s="367"/>
      <c r="C5" s="367"/>
      <c r="D5" s="369"/>
      <c r="E5" s="366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9"/>
      <c r="AS5" s="366"/>
      <c r="AT5" s="367"/>
      <c r="AU5" s="367"/>
      <c r="AV5" s="367"/>
      <c r="AW5" s="367"/>
      <c r="AX5" s="367"/>
      <c r="AY5" s="367"/>
      <c r="AZ5" s="367"/>
      <c r="BA5" s="367"/>
      <c r="BB5" s="369"/>
      <c r="BC5" s="366" t="s">
        <v>17</v>
      </c>
      <c r="BD5" s="367"/>
      <c r="BE5" s="367"/>
      <c r="BF5" s="367"/>
      <c r="BG5" s="367"/>
      <c r="BH5" s="367"/>
      <c r="BI5" s="367"/>
      <c r="BJ5" s="367"/>
      <c r="BK5" s="367"/>
      <c r="BL5" s="367"/>
      <c r="BM5" s="369"/>
      <c r="BN5" s="366"/>
      <c r="BO5" s="367"/>
      <c r="BP5" s="367"/>
      <c r="BQ5" s="367"/>
      <c r="BR5" s="367"/>
      <c r="BS5" s="367"/>
      <c r="BT5" s="367"/>
      <c r="BU5" s="367"/>
      <c r="BV5" s="367"/>
      <c r="BW5" s="367"/>
      <c r="BX5" s="367"/>
      <c r="BY5" s="367"/>
      <c r="BZ5" s="367"/>
      <c r="CA5" s="367"/>
      <c r="CB5" s="367"/>
      <c r="CC5" s="207"/>
      <c r="CD5" s="216"/>
      <c r="CE5" s="216"/>
      <c r="CF5" s="214"/>
    </row>
    <row r="6" spans="1:84" ht="15.75">
      <c r="A6" s="396"/>
      <c r="B6" s="397"/>
      <c r="C6" s="397"/>
      <c r="D6" s="398"/>
      <c r="E6" s="396">
        <v>1</v>
      </c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8"/>
      <c r="AS6" s="396">
        <v>2</v>
      </c>
      <c r="AT6" s="397"/>
      <c r="AU6" s="397"/>
      <c r="AV6" s="397"/>
      <c r="AW6" s="397"/>
      <c r="AX6" s="397"/>
      <c r="AY6" s="397"/>
      <c r="AZ6" s="397"/>
      <c r="BA6" s="397"/>
      <c r="BB6" s="398"/>
      <c r="BC6" s="396">
        <v>3</v>
      </c>
      <c r="BD6" s="397"/>
      <c r="BE6" s="397"/>
      <c r="BF6" s="397"/>
      <c r="BG6" s="397"/>
      <c r="BH6" s="397"/>
      <c r="BI6" s="397"/>
      <c r="BJ6" s="397"/>
      <c r="BK6" s="397"/>
      <c r="BL6" s="397"/>
      <c r="BM6" s="398"/>
      <c r="BN6" s="396">
        <v>4</v>
      </c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8"/>
      <c r="CC6" s="112" t="s">
        <v>153</v>
      </c>
      <c r="CD6" s="113" t="s">
        <v>211</v>
      </c>
      <c r="CE6" s="113" t="s">
        <v>411</v>
      </c>
      <c r="CF6" s="225" t="s">
        <v>412</v>
      </c>
    </row>
    <row r="7" spans="1:84" s="161" customFormat="1" ht="16.5" customHeight="1">
      <c r="A7" s="634">
        <v>1</v>
      </c>
      <c r="B7" s="635"/>
      <c r="C7" s="635"/>
      <c r="D7" s="636"/>
      <c r="E7" s="637" t="s">
        <v>348</v>
      </c>
      <c r="F7" s="638"/>
      <c r="G7" s="638"/>
      <c r="H7" s="638"/>
      <c r="I7" s="638"/>
      <c r="J7" s="638"/>
      <c r="K7" s="638"/>
      <c r="L7" s="638"/>
      <c r="M7" s="638"/>
      <c r="N7" s="638"/>
      <c r="O7" s="638"/>
      <c r="P7" s="638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9"/>
      <c r="AS7" s="640"/>
      <c r="AT7" s="641"/>
      <c r="AU7" s="641"/>
      <c r="AV7" s="641"/>
      <c r="AW7" s="641"/>
      <c r="AX7" s="641"/>
      <c r="AY7" s="641"/>
      <c r="AZ7" s="641"/>
      <c r="BA7" s="641"/>
      <c r="BB7" s="642"/>
      <c r="BC7" s="643"/>
      <c r="BD7" s="644"/>
      <c r="BE7" s="644"/>
      <c r="BF7" s="644"/>
      <c r="BG7" s="644"/>
      <c r="BH7" s="644"/>
      <c r="BI7" s="644"/>
      <c r="BJ7" s="644"/>
      <c r="BK7" s="644"/>
      <c r="BL7" s="644"/>
      <c r="BM7" s="645"/>
      <c r="BN7" s="682">
        <f>750000-3950-4814</f>
        <v>741236</v>
      </c>
      <c r="BO7" s="683"/>
      <c r="BP7" s="683"/>
      <c r="BQ7" s="683"/>
      <c r="BR7" s="683"/>
      <c r="BS7" s="683"/>
      <c r="BT7" s="683"/>
      <c r="BU7" s="683"/>
      <c r="BV7" s="683"/>
      <c r="BW7" s="683"/>
      <c r="BX7" s="683"/>
      <c r="BY7" s="683"/>
      <c r="BZ7" s="683"/>
      <c r="CA7" s="683"/>
      <c r="CB7" s="684"/>
      <c r="CC7" s="117">
        <v>35864.4</v>
      </c>
      <c r="CD7" s="117">
        <v>35864.4</v>
      </c>
      <c r="CE7" s="117">
        <f>CC7-CD7</f>
        <v>0</v>
      </c>
      <c r="CF7" s="230">
        <f>BN7-CC7</f>
        <v>705371.6</v>
      </c>
    </row>
    <row r="8" spans="1:84" s="161" customFormat="1" ht="16.5" customHeight="1">
      <c r="A8" s="634">
        <v>2</v>
      </c>
      <c r="B8" s="635"/>
      <c r="C8" s="635"/>
      <c r="D8" s="636"/>
      <c r="E8" s="637" t="s">
        <v>391</v>
      </c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9"/>
      <c r="AS8" s="640"/>
      <c r="AT8" s="641"/>
      <c r="AU8" s="641"/>
      <c r="AV8" s="641"/>
      <c r="AW8" s="641"/>
      <c r="AX8" s="641"/>
      <c r="AY8" s="641"/>
      <c r="AZ8" s="641"/>
      <c r="BA8" s="641"/>
      <c r="BB8" s="642"/>
      <c r="BC8" s="643"/>
      <c r="BD8" s="644"/>
      <c r="BE8" s="644"/>
      <c r="BF8" s="644"/>
      <c r="BG8" s="644"/>
      <c r="BH8" s="644"/>
      <c r="BI8" s="644"/>
      <c r="BJ8" s="644"/>
      <c r="BK8" s="644"/>
      <c r="BL8" s="644"/>
      <c r="BM8" s="645"/>
      <c r="BN8" s="682">
        <v>80.17</v>
      </c>
      <c r="BO8" s="683"/>
      <c r="BP8" s="683"/>
      <c r="BQ8" s="683"/>
      <c r="BR8" s="683"/>
      <c r="BS8" s="683"/>
      <c r="BT8" s="683"/>
      <c r="BU8" s="683"/>
      <c r="BV8" s="683"/>
      <c r="BW8" s="683"/>
      <c r="BX8" s="683"/>
      <c r="BY8" s="683"/>
      <c r="BZ8" s="683"/>
      <c r="CA8" s="683"/>
      <c r="CB8" s="684"/>
      <c r="CC8" s="117"/>
      <c r="CD8" s="117" t="s">
        <v>419</v>
      </c>
      <c r="CE8" s="117" t="e">
        <f>CC8-CD8</f>
        <v>#VALUE!</v>
      </c>
      <c r="CF8" s="230">
        <f>BN8-CC8</f>
        <v>80.17</v>
      </c>
    </row>
    <row r="9" spans="1:84" s="121" customFormat="1" ht="16.5" customHeight="1">
      <c r="A9" s="546">
        <v>3</v>
      </c>
      <c r="B9" s="547"/>
      <c r="C9" s="547"/>
      <c r="D9" s="548"/>
      <c r="E9" s="685" t="s">
        <v>436</v>
      </c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6"/>
      <c r="Z9" s="686"/>
      <c r="AA9" s="686"/>
      <c r="AB9" s="686"/>
      <c r="AC9" s="686"/>
      <c r="AD9" s="686"/>
      <c r="AE9" s="686"/>
      <c r="AF9" s="686"/>
      <c r="AG9" s="686"/>
      <c r="AH9" s="686"/>
      <c r="AI9" s="686"/>
      <c r="AJ9" s="686"/>
      <c r="AK9" s="686"/>
      <c r="AL9" s="686"/>
      <c r="AM9" s="686"/>
      <c r="AN9" s="686"/>
      <c r="AO9" s="686"/>
      <c r="AP9" s="686"/>
      <c r="AQ9" s="686"/>
      <c r="AR9" s="687"/>
      <c r="AS9" s="534"/>
      <c r="AT9" s="535"/>
      <c r="AU9" s="535"/>
      <c r="AV9" s="535"/>
      <c r="AW9" s="535"/>
      <c r="AX9" s="535"/>
      <c r="AY9" s="535"/>
      <c r="AZ9" s="535"/>
      <c r="BA9" s="535"/>
      <c r="BB9" s="536"/>
      <c r="BC9" s="573"/>
      <c r="BD9" s="574"/>
      <c r="BE9" s="574"/>
      <c r="BF9" s="574"/>
      <c r="BG9" s="574"/>
      <c r="BH9" s="574"/>
      <c r="BI9" s="574"/>
      <c r="BJ9" s="574"/>
      <c r="BK9" s="574"/>
      <c r="BL9" s="574"/>
      <c r="BM9" s="575"/>
      <c r="BN9" s="745">
        <f>10000-6000+11219</f>
        <v>15219</v>
      </c>
      <c r="BO9" s="746"/>
      <c r="BP9" s="746"/>
      <c r="BQ9" s="746"/>
      <c r="BR9" s="746"/>
      <c r="BS9" s="746"/>
      <c r="BT9" s="746"/>
      <c r="BU9" s="746"/>
      <c r="BV9" s="746"/>
      <c r="BW9" s="746"/>
      <c r="BX9" s="746"/>
      <c r="BY9" s="746"/>
      <c r="BZ9" s="746"/>
      <c r="CA9" s="746"/>
      <c r="CB9" s="747"/>
      <c r="CC9" s="117">
        <v>11219</v>
      </c>
      <c r="CD9" s="117">
        <v>11219</v>
      </c>
      <c r="CE9" s="117">
        <f>CC9-CD9</f>
        <v>0</v>
      </c>
      <c r="CF9" s="230">
        <f>BN9-CC9</f>
        <v>4000</v>
      </c>
    </row>
    <row r="10" spans="1:84" s="121" customFormat="1" ht="16.5" customHeight="1">
      <c r="A10" s="546">
        <v>4</v>
      </c>
      <c r="B10" s="547"/>
      <c r="C10" s="547"/>
      <c r="D10" s="548"/>
      <c r="E10" s="685" t="s">
        <v>438</v>
      </c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6"/>
      <c r="Z10" s="686"/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6"/>
      <c r="AL10" s="686"/>
      <c r="AM10" s="686"/>
      <c r="AN10" s="686"/>
      <c r="AO10" s="686"/>
      <c r="AP10" s="686"/>
      <c r="AQ10" s="686"/>
      <c r="AR10" s="687"/>
      <c r="AS10" s="534"/>
      <c r="AT10" s="535"/>
      <c r="AU10" s="535"/>
      <c r="AV10" s="535"/>
      <c r="AW10" s="535"/>
      <c r="AX10" s="535"/>
      <c r="AY10" s="535"/>
      <c r="AZ10" s="535"/>
      <c r="BA10" s="535"/>
      <c r="BB10" s="536"/>
      <c r="BC10" s="573"/>
      <c r="BD10" s="574"/>
      <c r="BE10" s="574"/>
      <c r="BF10" s="574"/>
      <c r="BG10" s="574"/>
      <c r="BH10" s="574"/>
      <c r="BI10" s="574"/>
      <c r="BJ10" s="574"/>
      <c r="BK10" s="574"/>
      <c r="BL10" s="574"/>
      <c r="BM10" s="575"/>
      <c r="BN10" s="745">
        <f>6000+7000</f>
        <v>13000</v>
      </c>
      <c r="BO10" s="746"/>
      <c r="BP10" s="746"/>
      <c r="BQ10" s="746"/>
      <c r="BR10" s="746"/>
      <c r="BS10" s="746"/>
      <c r="BT10" s="746"/>
      <c r="BU10" s="746"/>
      <c r="BV10" s="746"/>
      <c r="BW10" s="746"/>
      <c r="BX10" s="746"/>
      <c r="BY10" s="746"/>
      <c r="BZ10" s="746"/>
      <c r="CA10" s="746"/>
      <c r="CB10" s="747"/>
      <c r="CC10" s="117">
        <v>13000</v>
      </c>
      <c r="CD10" s="117">
        <v>13000</v>
      </c>
      <c r="CE10" s="117"/>
      <c r="CF10" s="230"/>
    </row>
    <row r="11" spans="1:84" s="161" customFormat="1" ht="16.5" customHeight="1">
      <c r="A11" s="546">
        <v>5</v>
      </c>
      <c r="B11" s="547"/>
      <c r="C11" s="547"/>
      <c r="D11" s="548"/>
      <c r="E11" s="742" t="s">
        <v>388</v>
      </c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4"/>
      <c r="AS11" s="640"/>
      <c r="AT11" s="641"/>
      <c r="AU11" s="641"/>
      <c r="AV11" s="641"/>
      <c r="AW11" s="641"/>
      <c r="AX11" s="641"/>
      <c r="AY11" s="641"/>
      <c r="AZ11" s="641"/>
      <c r="BA11" s="641"/>
      <c r="BB11" s="642"/>
      <c r="BC11" s="643"/>
      <c r="BD11" s="644"/>
      <c r="BE11" s="644"/>
      <c r="BF11" s="644"/>
      <c r="BG11" s="644"/>
      <c r="BH11" s="644"/>
      <c r="BI11" s="644"/>
      <c r="BJ11" s="644"/>
      <c r="BK11" s="644"/>
      <c r="BL11" s="644"/>
      <c r="BM11" s="645"/>
      <c r="BN11" s="757">
        <f>1200+36000+16000</f>
        <v>53200</v>
      </c>
      <c r="BO11" s="758"/>
      <c r="BP11" s="758"/>
      <c r="BQ11" s="758"/>
      <c r="BR11" s="758"/>
      <c r="BS11" s="758"/>
      <c r="BT11" s="758"/>
      <c r="BU11" s="758"/>
      <c r="BV11" s="758"/>
      <c r="BW11" s="758"/>
      <c r="BX11" s="758"/>
      <c r="BY11" s="758"/>
      <c r="BZ11" s="758"/>
      <c r="CA11" s="758"/>
      <c r="CB11" s="759"/>
      <c r="CC11" s="117">
        <f>37200+16000</f>
        <v>53200</v>
      </c>
      <c r="CD11" s="117">
        <f>37200+16000</f>
        <v>53200</v>
      </c>
      <c r="CE11" s="117">
        <f>CC11-CD11</f>
        <v>0</v>
      </c>
      <c r="CF11" s="230">
        <f>BN11-CC11</f>
        <v>0</v>
      </c>
    </row>
    <row r="12" spans="1:84" s="161" customFormat="1" ht="16.5" customHeight="1">
      <c r="A12" s="546">
        <v>6</v>
      </c>
      <c r="B12" s="547"/>
      <c r="C12" s="547"/>
      <c r="D12" s="548"/>
      <c r="E12" s="605" t="s">
        <v>439</v>
      </c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6"/>
      <c r="AQ12" s="606"/>
      <c r="AR12" s="607"/>
      <c r="AS12" s="608"/>
      <c r="AT12" s="609"/>
      <c r="AU12" s="609"/>
      <c r="AV12" s="609"/>
      <c r="AW12" s="609"/>
      <c r="AX12" s="609"/>
      <c r="AY12" s="609"/>
      <c r="AZ12" s="609"/>
      <c r="BA12" s="609"/>
      <c r="BB12" s="610"/>
      <c r="BC12" s="608"/>
      <c r="BD12" s="609"/>
      <c r="BE12" s="609"/>
      <c r="BF12" s="609"/>
      <c r="BG12" s="609"/>
      <c r="BH12" s="609"/>
      <c r="BI12" s="609"/>
      <c r="BJ12" s="609"/>
      <c r="BK12" s="609"/>
      <c r="BL12" s="609"/>
      <c r="BM12" s="610"/>
      <c r="BN12" s="330">
        <v>63456</v>
      </c>
      <c r="BO12" s="331"/>
      <c r="BP12" s="331"/>
      <c r="BQ12" s="331"/>
      <c r="BR12" s="331"/>
      <c r="BS12" s="331"/>
      <c r="BT12" s="331"/>
      <c r="BU12" s="331"/>
      <c r="BV12" s="331"/>
      <c r="BW12" s="331"/>
      <c r="BX12" s="331"/>
      <c r="BY12" s="331"/>
      <c r="BZ12" s="291"/>
      <c r="CA12" s="291"/>
      <c r="CB12" s="291"/>
      <c r="CC12" s="117">
        <v>63456</v>
      </c>
      <c r="CD12" s="117">
        <v>63456</v>
      </c>
      <c r="CE12" s="117">
        <f>CC12-CD12</f>
        <v>0</v>
      </c>
      <c r="CF12" s="230">
        <f>BN12-CC12</f>
        <v>0</v>
      </c>
    </row>
    <row r="13" spans="1:84" s="159" customFormat="1" ht="13.5" thickBot="1">
      <c r="A13" s="673"/>
      <c r="B13" s="674"/>
      <c r="C13" s="674"/>
      <c r="D13" s="675"/>
      <c r="E13" s="688" t="s">
        <v>10</v>
      </c>
      <c r="F13" s="689"/>
      <c r="G13" s="689"/>
      <c r="H13" s="689"/>
      <c r="I13" s="689"/>
      <c r="J13" s="689"/>
      <c r="K13" s="689"/>
      <c r="L13" s="689"/>
      <c r="M13" s="689"/>
      <c r="N13" s="689"/>
      <c r="O13" s="689"/>
      <c r="P13" s="689"/>
      <c r="Q13" s="689"/>
      <c r="R13" s="689"/>
      <c r="S13" s="689"/>
      <c r="T13" s="689"/>
      <c r="U13" s="689"/>
      <c r="V13" s="689"/>
      <c r="W13" s="689"/>
      <c r="X13" s="689"/>
      <c r="Y13" s="689"/>
      <c r="Z13" s="689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  <c r="AR13" s="690"/>
      <c r="AS13" s="676" t="s">
        <v>11</v>
      </c>
      <c r="AT13" s="677"/>
      <c r="AU13" s="677"/>
      <c r="AV13" s="677"/>
      <c r="AW13" s="677"/>
      <c r="AX13" s="677"/>
      <c r="AY13" s="677"/>
      <c r="AZ13" s="677"/>
      <c r="BA13" s="677"/>
      <c r="BB13" s="678"/>
      <c r="BC13" s="676" t="s">
        <v>11</v>
      </c>
      <c r="BD13" s="677"/>
      <c r="BE13" s="677"/>
      <c r="BF13" s="677"/>
      <c r="BG13" s="677"/>
      <c r="BH13" s="677"/>
      <c r="BI13" s="677"/>
      <c r="BJ13" s="677"/>
      <c r="BK13" s="677"/>
      <c r="BL13" s="677"/>
      <c r="BM13" s="678"/>
      <c r="BN13" s="691">
        <f>SUM(BN7:CB12)</f>
        <v>886191.17</v>
      </c>
      <c r="BO13" s="692"/>
      <c r="BP13" s="692"/>
      <c r="BQ13" s="692"/>
      <c r="BR13" s="692"/>
      <c r="BS13" s="692"/>
      <c r="BT13" s="692"/>
      <c r="BU13" s="692"/>
      <c r="BV13" s="692"/>
      <c r="BW13" s="692"/>
      <c r="BX13" s="692"/>
      <c r="BY13" s="692"/>
      <c r="BZ13" s="692"/>
      <c r="CA13" s="692"/>
      <c r="CB13" s="692"/>
      <c r="CC13" s="211"/>
      <c r="CD13" s="211"/>
      <c r="CE13" s="211"/>
      <c r="CF13" s="188"/>
    </row>
    <row r="14" spans="81:84" ht="12.75">
      <c r="CC14" s="207"/>
      <c r="CD14" s="216"/>
      <c r="CE14" s="216"/>
      <c r="CF14" s="214"/>
    </row>
    <row r="15" spans="1:84" s="114" customFormat="1" ht="15.75">
      <c r="A15" s="669" t="s">
        <v>402</v>
      </c>
      <c r="B15" s="669"/>
      <c r="C15" s="669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  <c r="AL15" s="669"/>
      <c r="AM15" s="669"/>
      <c r="AN15" s="669"/>
      <c r="AO15" s="669"/>
      <c r="AP15" s="669"/>
      <c r="AQ15" s="669"/>
      <c r="AR15" s="669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669"/>
      <c r="BE15" s="669"/>
      <c r="BF15" s="669"/>
      <c r="BG15" s="669"/>
      <c r="BH15" s="669"/>
      <c r="BI15" s="669"/>
      <c r="BJ15" s="669"/>
      <c r="BK15" s="669"/>
      <c r="BL15" s="669"/>
      <c r="BM15" s="669"/>
      <c r="BN15" s="669"/>
      <c r="BO15" s="669"/>
      <c r="BP15" s="669"/>
      <c r="BQ15" s="669"/>
      <c r="BR15" s="669"/>
      <c r="BS15" s="669"/>
      <c r="BT15" s="669"/>
      <c r="BU15" s="669"/>
      <c r="BV15" s="669"/>
      <c r="BW15" s="669"/>
      <c r="BX15" s="669"/>
      <c r="BY15" s="669"/>
      <c r="BZ15" s="669"/>
      <c r="CA15" s="669"/>
      <c r="CB15" s="669"/>
      <c r="CC15" s="217"/>
      <c r="CD15" s="220"/>
      <c r="CE15" s="220"/>
      <c r="CF15" s="221"/>
    </row>
    <row r="16" spans="1:84" s="114" customFormat="1" ht="15.75">
      <c r="A16" s="669" t="s">
        <v>403</v>
      </c>
      <c r="B16" s="669"/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  <c r="R16" s="669"/>
      <c r="S16" s="669"/>
      <c r="T16" s="669"/>
      <c r="U16" s="669"/>
      <c r="V16" s="669"/>
      <c r="W16" s="669"/>
      <c r="X16" s="669"/>
      <c r="Y16" s="669"/>
      <c r="Z16" s="669"/>
      <c r="AA16" s="669"/>
      <c r="AB16" s="669"/>
      <c r="AC16" s="669"/>
      <c r="AD16" s="669"/>
      <c r="AE16" s="669"/>
      <c r="AF16" s="669"/>
      <c r="AG16" s="669"/>
      <c r="AH16" s="669"/>
      <c r="AI16" s="669"/>
      <c r="AJ16" s="669"/>
      <c r="AK16" s="669"/>
      <c r="AL16" s="669"/>
      <c r="AM16" s="669"/>
      <c r="AN16" s="669"/>
      <c r="AO16" s="669"/>
      <c r="AP16" s="669"/>
      <c r="AQ16" s="669"/>
      <c r="AR16" s="669"/>
      <c r="AS16" s="669"/>
      <c r="AT16" s="669"/>
      <c r="AU16" s="669"/>
      <c r="AV16" s="669"/>
      <c r="AW16" s="669"/>
      <c r="AX16" s="669"/>
      <c r="AY16" s="669"/>
      <c r="AZ16" s="669"/>
      <c r="BA16" s="669"/>
      <c r="BB16" s="669"/>
      <c r="BC16" s="669"/>
      <c r="BD16" s="669"/>
      <c r="BE16" s="669"/>
      <c r="BF16" s="669"/>
      <c r="BG16" s="669"/>
      <c r="BH16" s="669"/>
      <c r="BI16" s="669"/>
      <c r="BJ16" s="669"/>
      <c r="BK16" s="669"/>
      <c r="BL16" s="669"/>
      <c r="BM16" s="669"/>
      <c r="BN16" s="669"/>
      <c r="BO16" s="669"/>
      <c r="BP16" s="669"/>
      <c r="BQ16" s="669"/>
      <c r="BR16" s="669"/>
      <c r="BS16" s="669"/>
      <c r="BT16" s="669"/>
      <c r="BU16" s="669"/>
      <c r="BV16" s="669"/>
      <c r="BW16" s="669"/>
      <c r="BX16" s="669"/>
      <c r="BY16" s="669"/>
      <c r="BZ16" s="669"/>
      <c r="CA16" s="669"/>
      <c r="CB16" s="669"/>
      <c r="CC16" s="217"/>
      <c r="CD16" s="220"/>
      <c r="CE16" s="220"/>
      <c r="CF16" s="221"/>
    </row>
    <row r="17" spans="1:84" s="116" customFormat="1" ht="9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222"/>
      <c r="CD17" s="218"/>
      <c r="CE17" s="218"/>
      <c r="CF17" s="219"/>
    </row>
    <row r="18" spans="1:84" ht="12.75">
      <c r="A18" s="364" t="s">
        <v>5</v>
      </c>
      <c r="B18" s="365"/>
      <c r="C18" s="365"/>
      <c r="D18" s="368"/>
      <c r="E18" s="364" t="s">
        <v>13</v>
      </c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8"/>
      <c r="AS18" s="364" t="s">
        <v>18</v>
      </c>
      <c r="AT18" s="365"/>
      <c r="AU18" s="365"/>
      <c r="AV18" s="365"/>
      <c r="AW18" s="365"/>
      <c r="AX18" s="365"/>
      <c r="AY18" s="365"/>
      <c r="AZ18" s="365"/>
      <c r="BA18" s="365"/>
      <c r="BB18" s="368"/>
      <c r="BC18" s="364" t="s">
        <v>106</v>
      </c>
      <c r="BD18" s="365"/>
      <c r="BE18" s="365"/>
      <c r="BF18" s="365"/>
      <c r="BG18" s="365"/>
      <c r="BH18" s="365"/>
      <c r="BI18" s="365"/>
      <c r="BJ18" s="365"/>
      <c r="BK18" s="365"/>
      <c r="BL18" s="365"/>
      <c r="BM18" s="368"/>
      <c r="BN18" s="364" t="s">
        <v>22</v>
      </c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207"/>
      <c r="CD18" s="216"/>
      <c r="CE18" s="216"/>
      <c r="CF18" s="214"/>
    </row>
    <row r="19" spans="1:84" ht="12.75">
      <c r="A19" s="366" t="s">
        <v>6</v>
      </c>
      <c r="B19" s="367"/>
      <c r="C19" s="367"/>
      <c r="D19" s="369"/>
      <c r="E19" s="366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9"/>
      <c r="AS19" s="366"/>
      <c r="AT19" s="367"/>
      <c r="AU19" s="367"/>
      <c r="AV19" s="367"/>
      <c r="AW19" s="367"/>
      <c r="AX19" s="367"/>
      <c r="AY19" s="367"/>
      <c r="AZ19" s="367"/>
      <c r="BA19" s="367"/>
      <c r="BB19" s="369"/>
      <c r="BC19" s="366" t="s">
        <v>107</v>
      </c>
      <c r="BD19" s="367"/>
      <c r="BE19" s="367"/>
      <c r="BF19" s="367"/>
      <c r="BG19" s="367"/>
      <c r="BH19" s="367"/>
      <c r="BI19" s="367"/>
      <c r="BJ19" s="367"/>
      <c r="BK19" s="367"/>
      <c r="BL19" s="367"/>
      <c r="BM19" s="369"/>
      <c r="BN19" s="366" t="s">
        <v>117</v>
      </c>
      <c r="BO19" s="367"/>
      <c r="BP19" s="367"/>
      <c r="BQ19" s="367"/>
      <c r="BR19" s="367"/>
      <c r="BS19" s="367"/>
      <c r="BT19" s="367"/>
      <c r="BU19" s="367"/>
      <c r="BV19" s="367"/>
      <c r="BW19" s="367"/>
      <c r="BX19" s="367"/>
      <c r="BY19" s="367"/>
      <c r="BZ19" s="367"/>
      <c r="CA19" s="367"/>
      <c r="CB19" s="367"/>
      <c r="CC19" s="207"/>
      <c r="CD19" s="216"/>
      <c r="CE19" s="216"/>
      <c r="CF19" s="214"/>
    </row>
    <row r="20" spans="1:84" ht="12.75">
      <c r="A20" s="366"/>
      <c r="B20" s="367"/>
      <c r="C20" s="367"/>
      <c r="D20" s="369"/>
      <c r="E20" s="366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9"/>
      <c r="AS20" s="366"/>
      <c r="AT20" s="367"/>
      <c r="AU20" s="367"/>
      <c r="AV20" s="367"/>
      <c r="AW20" s="367"/>
      <c r="AX20" s="367"/>
      <c r="AY20" s="367"/>
      <c r="AZ20" s="367"/>
      <c r="BA20" s="367"/>
      <c r="BB20" s="369"/>
      <c r="BC20" s="366" t="s">
        <v>17</v>
      </c>
      <c r="BD20" s="367"/>
      <c r="BE20" s="367"/>
      <c r="BF20" s="367"/>
      <c r="BG20" s="367"/>
      <c r="BH20" s="367"/>
      <c r="BI20" s="367"/>
      <c r="BJ20" s="367"/>
      <c r="BK20" s="367"/>
      <c r="BL20" s="367"/>
      <c r="BM20" s="369"/>
      <c r="BN20" s="366"/>
      <c r="BO20" s="367"/>
      <c r="BP20" s="367"/>
      <c r="BQ20" s="367"/>
      <c r="BR20" s="367"/>
      <c r="BS20" s="367"/>
      <c r="BT20" s="367"/>
      <c r="BU20" s="367"/>
      <c r="BV20" s="367"/>
      <c r="BW20" s="367"/>
      <c r="BX20" s="367"/>
      <c r="BY20" s="367"/>
      <c r="BZ20" s="367"/>
      <c r="CA20" s="367"/>
      <c r="CB20" s="367"/>
      <c r="CC20" s="207"/>
      <c r="CD20" s="216"/>
      <c r="CE20" s="216"/>
      <c r="CF20" s="214"/>
    </row>
    <row r="21" spans="1:84" ht="15.75">
      <c r="A21" s="396"/>
      <c r="B21" s="397"/>
      <c r="C21" s="397"/>
      <c r="D21" s="398"/>
      <c r="E21" s="396">
        <v>1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7"/>
      <c r="AK21" s="397"/>
      <c r="AL21" s="397"/>
      <c r="AM21" s="397"/>
      <c r="AN21" s="397"/>
      <c r="AO21" s="397"/>
      <c r="AP21" s="397"/>
      <c r="AQ21" s="397"/>
      <c r="AR21" s="398"/>
      <c r="AS21" s="396">
        <v>2</v>
      </c>
      <c r="AT21" s="397"/>
      <c r="AU21" s="397"/>
      <c r="AV21" s="397"/>
      <c r="AW21" s="397"/>
      <c r="AX21" s="397"/>
      <c r="AY21" s="397"/>
      <c r="AZ21" s="397"/>
      <c r="BA21" s="397"/>
      <c r="BB21" s="398"/>
      <c r="BC21" s="396">
        <v>3</v>
      </c>
      <c r="BD21" s="397"/>
      <c r="BE21" s="397"/>
      <c r="BF21" s="397"/>
      <c r="BG21" s="397"/>
      <c r="BH21" s="397"/>
      <c r="BI21" s="397"/>
      <c r="BJ21" s="397"/>
      <c r="BK21" s="397"/>
      <c r="BL21" s="397"/>
      <c r="BM21" s="398"/>
      <c r="BN21" s="396">
        <v>4</v>
      </c>
      <c r="BO21" s="397"/>
      <c r="BP21" s="397"/>
      <c r="BQ21" s="397"/>
      <c r="BR21" s="397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112" t="s">
        <v>153</v>
      </c>
      <c r="CD21" s="113" t="s">
        <v>211</v>
      </c>
      <c r="CE21" s="113" t="s">
        <v>411</v>
      </c>
      <c r="CF21" s="225" t="s">
        <v>412</v>
      </c>
    </row>
    <row r="22" spans="1:84" s="121" customFormat="1" ht="12.75">
      <c r="A22" s="728">
        <v>1</v>
      </c>
      <c r="B22" s="729"/>
      <c r="C22" s="729"/>
      <c r="D22" s="730"/>
      <c r="E22" s="649" t="s">
        <v>347</v>
      </c>
      <c r="F22" s="650"/>
      <c r="G22" s="650"/>
      <c r="H22" s="650"/>
      <c r="I22" s="650"/>
      <c r="J22" s="650"/>
      <c r="K22" s="650"/>
      <c r="L22" s="650"/>
      <c r="M22" s="650"/>
      <c r="N22" s="650"/>
      <c r="O22" s="650"/>
      <c r="P22" s="650"/>
      <c r="Q22" s="650"/>
      <c r="R22" s="650"/>
      <c r="S22" s="650"/>
      <c r="T22" s="650"/>
      <c r="U22" s="650"/>
      <c r="V22" s="650"/>
      <c r="W22" s="650"/>
      <c r="X22" s="650"/>
      <c r="Y22" s="650"/>
      <c r="Z22" s="650"/>
      <c r="AA22" s="650"/>
      <c r="AB22" s="650"/>
      <c r="AC22" s="650"/>
      <c r="AD22" s="650"/>
      <c r="AE22" s="650"/>
      <c r="AF22" s="650"/>
      <c r="AG22" s="650"/>
      <c r="AH22" s="650"/>
      <c r="AI22" s="650"/>
      <c r="AJ22" s="650"/>
      <c r="AK22" s="650"/>
      <c r="AL22" s="650"/>
      <c r="AM22" s="650"/>
      <c r="AN22" s="650"/>
      <c r="AO22" s="650"/>
      <c r="AP22" s="650"/>
      <c r="AQ22" s="650"/>
      <c r="AR22" s="651"/>
      <c r="AS22" s="614"/>
      <c r="AT22" s="615"/>
      <c r="AU22" s="615"/>
      <c r="AV22" s="615"/>
      <c r="AW22" s="615"/>
      <c r="AX22" s="615"/>
      <c r="AY22" s="615"/>
      <c r="AZ22" s="615"/>
      <c r="BA22" s="615"/>
      <c r="BB22" s="616"/>
      <c r="BC22" s="646"/>
      <c r="BD22" s="647"/>
      <c r="BE22" s="647"/>
      <c r="BF22" s="647"/>
      <c r="BG22" s="647"/>
      <c r="BH22" s="647"/>
      <c r="BI22" s="647"/>
      <c r="BJ22" s="647"/>
      <c r="BK22" s="647"/>
      <c r="BL22" s="647"/>
      <c r="BM22" s="648"/>
      <c r="BN22" s="617">
        <f>350000-29000-4814-15919-7000-63456</f>
        <v>229811</v>
      </c>
      <c r="BO22" s="618"/>
      <c r="BP22" s="618"/>
      <c r="BQ22" s="618"/>
      <c r="BR22" s="618"/>
      <c r="BS22" s="618"/>
      <c r="BT22" s="618"/>
      <c r="BU22" s="618"/>
      <c r="BV22" s="618"/>
      <c r="BW22" s="618"/>
      <c r="BX22" s="618"/>
      <c r="BY22" s="618"/>
      <c r="BZ22" s="618"/>
      <c r="CA22" s="618"/>
      <c r="CB22" s="618"/>
      <c r="CC22" s="160">
        <v>199784</v>
      </c>
      <c r="CD22" s="117">
        <v>199784</v>
      </c>
      <c r="CE22" s="111">
        <f>CC22-CD22</f>
        <v>0</v>
      </c>
      <c r="CF22" s="228">
        <f>BN22-CC22</f>
        <v>30027</v>
      </c>
    </row>
    <row r="23" spans="1:84" s="120" customFormat="1" ht="18.75" customHeight="1">
      <c r="A23" s="620">
        <v>2</v>
      </c>
      <c r="B23" s="621"/>
      <c r="C23" s="621"/>
      <c r="D23" s="622"/>
      <c r="E23" s="623" t="s">
        <v>384</v>
      </c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5"/>
      <c r="AS23" s="670"/>
      <c r="AT23" s="671"/>
      <c r="AU23" s="671"/>
      <c r="AV23" s="671"/>
      <c r="AW23" s="671"/>
      <c r="AX23" s="671"/>
      <c r="AY23" s="671"/>
      <c r="AZ23" s="671"/>
      <c r="BA23" s="671"/>
      <c r="BB23" s="672"/>
      <c r="BC23" s="646"/>
      <c r="BD23" s="647"/>
      <c r="BE23" s="647"/>
      <c r="BF23" s="647"/>
      <c r="BG23" s="647"/>
      <c r="BH23" s="647"/>
      <c r="BI23" s="647"/>
      <c r="BJ23" s="647"/>
      <c r="BK23" s="647"/>
      <c r="BL23" s="647"/>
      <c r="BM23" s="648"/>
      <c r="BN23" s="617">
        <v>23740</v>
      </c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117"/>
      <c r="CD23" s="111"/>
      <c r="CE23" s="111">
        <f>CC23-CD23</f>
        <v>0</v>
      </c>
      <c r="CF23" s="227">
        <f>BN23-CC23</f>
        <v>23740</v>
      </c>
    </row>
    <row r="24" spans="1:84" s="120" customFormat="1" ht="12.75">
      <c r="A24" s="620"/>
      <c r="B24" s="621"/>
      <c r="C24" s="621"/>
      <c r="D24" s="622"/>
      <c r="E24" s="649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650"/>
      <c r="AH24" s="650"/>
      <c r="AI24" s="650"/>
      <c r="AJ24" s="650"/>
      <c r="AK24" s="650"/>
      <c r="AL24" s="650"/>
      <c r="AM24" s="650"/>
      <c r="AN24" s="650"/>
      <c r="AO24" s="650"/>
      <c r="AP24" s="650"/>
      <c r="AQ24" s="650"/>
      <c r="AR24" s="651"/>
      <c r="AS24" s="670"/>
      <c r="AT24" s="671"/>
      <c r="AU24" s="671"/>
      <c r="AV24" s="671"/>
      <c r="AW24" s="671"/>
      <c r="AX24" s="671"/>
      <c r="AY24" s="671"/>
      <c r="AZ24" s="671"/>
      <c r="BA24" s="671"/>
      <c r="BB24" s="672"/>
      <c r="BC24" s="646"/>
      <c r="BD24" s="647"/>
      <c r="BE24" s="647"/>
      <c r="BF24" s="647"/>
      <c r="BG24" s="647"/>
      <c r="BH24" s="647"/>
      <c r="BI24" s="647"/>
      <c r="BJ24" s="647"/>
      <c r="BK24" s="647"/>
      <c r="BL24" s="647"/>
      <c r="BM24" s="648"/>
      <c r="BN24" s="617"/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8"/>
      <c r="CC24" s="117"/>
      <c r="CD24" s="111"/>
      <c r="CE24" s="111">
        <f>CC24-CD24</f>
        <v>0</v>
      </c>
      <c r="CF24" s="227">
        <f>BN24-CC24</f>
        <v>0</v>
      </c>
    </row>
    <row r="25" spans="1:84" s="159" customFormat="1" ht="13.5" thickBot="1">
      <c r="A25" s="673"/>
      <c r="B25" s="674"/>
      <c r="C25" s="674"/>
      <c r="D25" s="675"/>
      <c r="E25" s="673" t="s">
        <v>10</v>
      </c>
      <c r="F25" s="674"/>
      <c r="G25" s="674"/>
      <c r="H25" s="674"/>
      <c r="I25" s="674"/>
      <c r="J25" s="674"/>
      <c r="K25" s="674"/>
      <c r="L25" s="674"/>
      <c r="M25" s="674"/>
      <c r="N25" s="674"/>
      <c r="O25" s="674"/>
      <c r="P25" s="674"/>
      <c r="Q25" s="674"/>
      <c r="R25" s="674"/>
      <c r="S25" s="674"/>
      <c r="T25" s="674"/>
      <c r="U25" s="674"/>
      <c r="V25" s="674"/>
      <c r="W25" s="674"/>
      <c r="X25" s="674"/>
      <c r="Y25" s="674"/>
      <c r="Z25" s="674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674"/>
      <c r="AL25" s="674"/>
      <c r="AM25" s="674"/>
      <c r="AN25" s="674"/>
      <c r="AO25" s="674"/>
      <c r="AP25" s="674"/>
      <c r="AQ25" s="674"/>
      <c r="AR25" s="675"/>
      <c r="AS25" s="679">
        <v>0</v>
      </c>
      <c r="AT25" s="680"/>
      <c r="AU25" s="680"/>
      <c r="AV25" s="680"/>
      <c r="AW25" s="680"/>
      <c r="AX25" s="680"/>
      <c r="AY25" s="680"/>
      <c r="AZ25" s="680"/>
      <c r="BA25" s="680"/>
      <c r="BB25" s="681"/>
      <c r="BC25" s="679">
        <v>0</v>
      </c>
      <c r="BD25" s="680"/>
      <c r="BE25" s="680"/>
      <c r="BF25" s="680"/>
      <c r="BG25" s="680"/>
      <c r="BH25" s="680"/>
      <c r="BI25" s="680"/>
      <c r="BJ25" s="680"/>
      <c r="BK25" s="680"/>
      <c r="BL25" s="680"/>
      <c r="BM25" s="681"/>
      <c r="BN25" s="691">
        <f>SUM(BN22:CB24)</f>
        <v>253551</v>
      </c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152"/>
      <c r="CD25" s="152"/>
      <c r="CE25" s="152"/>
      <c r="CF25" s="229"/>
    </row>
    <row r="26" spans="1:84" s="114" customFormat="1" ht="15.75">
      <c r="A26" s="669" t="s">
        <v>404</v>
      </c>
      <c r="B26" s="669"/>
      <c r="C26" s="669"/>
      <c r="D26" s="669"/>
      <c r="E26" s="669"/>
      <c r="F26" s="669"/>
      <c r="G26" s="669"/>
      <c r="H26" s="669"/>
      <c r="I26" s="669"/>
      <c r="J26" s="669"/>
      <c r="K26" s="669"/>
      <c r="L26" s="669"/>
      <c r="M26" s="669"/>
      <c r="N26" s="669"/>
      <c r="O26" s="669"/>
      <c r="P26" s="669"/>
      <c r="Q26" s="669"/>
      <c r="R26" s="669"/>
      <c r="S26" s="669"/>
      <c r="T26" s="669"/>
      <c r="U26" s="669"/>
      <c r="V26" s="669"/>
      <c r="W26" s="669"/>
      <c r="X26" s="669"/>
      <c r="Y26" s="669"/>
      <c r="Z26" s="669"/>
      <c r="AA26" s="669"/>
      <c r="AB26" s="669"/>
      <c r="AC26" s="669"/>
      <c r="AD26" s="669"/>
      <c r="AE26" s="669"/>
      <c r="AF26" s="669"/>
      <c r="AG26" s="669"/>
      <c r="AH26" s="669"/>
      <c r="AI26" s="669"/>
      <c r="AJ26" s="669"/>
      <c r="AK26" s="669"/>
      <c r="AL26" s="669"/>
      <c r="AM26" s="669"/>
      <c r="AN26" s="669"/>
      <c r="AO26" s="669"/>
      <c r="AP26" s="669"/>
      <c r="AQ26" s="669"/>
      <c r="AR26" s="669"/>
      <c r="AS26" s="669"/>
      <c r="AT26" s="669"/>
      <c r="AU26" s="669"/>
      <c r="AV26" s="669"/>
      <c r="AW26" s="669"/>
      <c r="AX26" s="669"/>
      <c r="AY26" s="669"/>
      <c r="AZ26" s="669"/>
      <c r="BA26" s="669"/>
      <c r="BB26" s="669"/>
      <c r="BC26" s="669"/>
      <c r="BD26" s="669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69"/>
      <c r="BT26" s="669"/>
      <c r="BU26" s="669"/>
      <c r="BV26" s="669"/>
      <c r="BW26" s="669"/>
      <c r="BX26" s="669"/>
      <c r="BY26" s="669"/>
      <c r="BZ26" s="669"/>
      <c r="CA26" s="669"/>
      <c r="CB26" s="669"/>
      <c r="CC26" s="217"/>
      <c r="CD26" s="220"/>
      <c r="CE26" s="220"/>
      <c r="CF26" s="221"/>
    </row>
    <row r="27" spans="1:84" s="114" customFormat="1" ht="15.75">
      <c r="A27" s="669"/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69"/>
      <c r="Q27" s="669"/>
      <c r="R27" s="669"/>
      <c r="S27" s="669"/>
      <c r="T27" s="669"/>
      <c r="U27" s="669"/>
      <c r="V27" s="669"/>
      <c r="W27" s="669"/>
      <c r="X27" s="669"/>
      <c r="Y27" s="669"/>
      <c r="Z27" s="669"/>
      <c r="AA27" s="669"/>
      <c r="AB27" s="669"/>
      <c r="AC27" s="669"/>
      <c r="AD27" s="669"/>
      <c r="AE27" s="669"/>
      <c r="AF27" s="669"/>
      <c r="AG27" s="669"/>
      <c r="AH27" s="669"/>
      <c r="AI27" s="669"/>
      <c r="AJ27" s="669"/>
      <c r="AK27" s="669"/>
      <c r="AL27" s="669"/>
      <c r="AM27" s="669"/>
      <c r="AN27" s="669"/>
      <c r="AO27" s="669"/>
      <c r="AP27" s="669"/>
      <c r="AQ27" s="669"/>
      <c r="AR27" s="669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9"/>
      <c r="BF27" s="669"/>
      <c r="BG27" s="669"/>
      <c r="BH27" s="669"/>
      <c r="BI27" s="669"/>
      <c r="BJ27" s="669"/>
      <c r="BK27" s="669"/>
      <c r="BL27" s="669"/>
      <c r="BM27" s="669"/>
      <c r="BN27" s="669"/>
      <c r="BO27" s="669"/>
      <c r="BP27" s="669"/>
      <c r="BQ27" s="669"/>
      <c r="BR27" s="669"/>
      <c r="BS27" s="669"/>
      <c r="BT27" s="669"/>
      <c r="BU27" s="669"/>
      <c r="BV27" s="669"/>
      <c r="BW27" s="669"/>
      <c r="BX27" s="669"/>
      <c r="BY27" s="669"/>
      <c r="BZ27" s="669"/>
      <c r="CA27" s="669"/>
      <c r="CB27" s="669"/>
      <c r="CC27" s="217"/>
      <c r="CD27" s="220"/>
      <c r="CE27" s="220"/>
      <c r="CF27" s="221"/>
    </row>
    <row r="28" spans="1:84" s="116" customFormat="1" ht="9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222"/>
      <c r="CD28" s="218"/>
      <c r="CE28" s="218"/>
      <c r="CF28" s="219"/>
    </row>
    <row r="29" spans="1:84" ht="12.75">
      <c r="A29" s="364" t="s">
        <v>5</v>
      </c>
      <c r="B29" s="365"/>
      <c r="C29" s="365"/>
      <c r="D29" s="368"/>
      <c r="E29" s="364" t="s">
        <v>13</v>
      </c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8"/>
      <c r="AS29" s="364" t="s">
        <v>18</v>
      </c>
      <c r="AT29" s="365"/>
      <c r="AU29" s="365"/>
      <c r="AV29" s="365"/>
      <c r="AW29" s="365"/>
      <c r="AX29" s="365"/>
      <c r="AY29" s="365"/>
      <c r="AZ29" s="365"/>
      <c r="BA29" s="365"/>
      <c r="BB29" s="368"/>
      <c r="BC29" s="364" t="s">
        <v>106</v>
      </c>
      <c r="BD29" s="365"/>
      <c r="BE29" s="365"/>
      <c r="BF29" s="365"/>
      <c r="BG29" s="365"/>
      <c r="BH29" s="365"/>
      <c r="BI29" s="365"/>
      <c r="BJ29" s="365"/>
      <c r="BK29" s="365"/>
      <c r="BL29" s="365"/>
      <c r="BM29" s="368"/>
      <c r="BN29" s="364" t="s">
        <v>22</v>
      </c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207"/>
      <c r="CD29" s="216"/>
      <c r="CE29" s="216"/>
      <c r="CF29" s="214"/>
    </row>
    <row r="30" spans="1:84" ht="12.75">
      <c r="A30" s="366" t="s">
        <v>6</v>
      </c>
      <c r="B30" s="367"/>
      <c r="C30" s="367"/>
      <c r="D30" s="369"/>
      <c r="E30" s="366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9"/>
      <c r="AS30" s="366"/>
      <c r="AT30" s="367"/>
      <c r="AU30" s="367"/>
      <c r="AV30" s="367"/>
      <c r="AW30" s="367"/>
      <c r="AX30" s="367"/>
      <c r="AY30" s="367"/>
      <c r="AZ30" s="367"/>
      <c r="BA30" s="367"/>
      <c r="BB30" s="369"/>
      <c r="BC30" s="366" t="s">
        <v>107</v>
      </c>
      <c r="BD30" s="367"/>
      <c r="BE30" s="367"/>
      <c r="BF30" s="367"/>
      <c r="BG30" s="367"/>
      <c r="BH30" s="367"/>
      <c r="BI30" s="367"/>
      <c r="BJ30" s="367"/>
      <c r="BK30" s="367"/>
      <c r="BL30" s="367"/>
      <c r="BM30" s="369"/>
      <c r="BN30" s="366" t="s">
        <v>117</v>
      </c>
      <c r="BO30" s="367"/>
      <c r="BP30" s="367"/>
      <c r="BQ30" s="367"/>
      <c r="BR30" s="367"/>
      <c r="BS30" s="367"/>
      <c r="BT30" s="367"/>
      <c r="BU30" s="367"/>
      <c r="BV30" s="367"/>
      <c r="BW30" s="367"/>
      <c r="BX30" s="367"/>
      <c r="BY30" s="367"/>
      <c r="BZ30" s="367"/>
      <c r="CA30" s="367"/>
      <c r="CB30" s="367"/>
      <c r="CC30" s="207"/>
      <c r="CD30" s="216"/>
      <c r="CE30" s="216"/>
      <c r="CF30" s="214"/>
    </row>
    <row r="31" spans="1:84" ht="12.75">
      <c r="A31" s="366"/>
      <c r="B31" s="367"/>
      <c r="C31" s="367"/>
      <c r="D31" s="369"/>
      <c r="E31" s="366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9"/>
      <c r="AS31" s="366"/>
      <c r="AT31" s="367"/>
      <c r="AU31" s="367"/>
      <c r="AV31" s="367"/>
      <c r="AW31" s="367"/>
      <c r="AX31" s="367"/>
      <c r="AY31" s="367"/>
      <c r="AZ31" s="367"/>
      <c r="BA31" s="367"/>
      <c r="BB31" s="369"/>
      <c r="BC31" s="366" t="s">
        <v>17</v>
      </c>
      <c r="BD31" s="367"/>
      <c r="BE31" s="367"/>
      <c r="BF31" s="367"/>
      <c r="BG31" s="367"/>
      <c r="BH31" s="367"/>
      <c r="BI31" s="367"/>
      <c r="BJ31" s="367"/>
      <c r="BK31" s="367"/>
      <c r="BL31" s="367"/>
      <c r="BM31" s="369"/>
      <c r="BN31" s="366"/>
      <c r="BO31" s="367"/>
      <c r="BP31" s="367"/>
      <c r="BQ31" s="367"/>
      <c r="BR31" s="367"/>
      <c r="BS31" s="367"/>
      <c r="BT31" s="367"/>
      <c r="BU31" s="367"/>
      <c r="BV31" s="367"/>
      <c r="BW31" s="367"/>
      <c r="BX31" s="367"/>
      <c r="BY31" s="367"/>
      <c r="BZ31" s="367"/>
      <c r="CA31" s="367"/>
      <c r="CB31" s="367"/>
      <c r="CC31" s="207"/>
      <c r="CD31" s="216"/>
      <c r="CE31" s="216"/>
      <c r="CF31" s="214"/>
    </row>
    <row r="32" spans="1:84" ht="12.75">
      <c r="A32" s="396"/>
      <c r="B32" s="397"/>
      <c r="C32" s="397"/>
      <c r="D32" s="398"/>
      <c r="E32" s="396">
        <v>1</v>
      </c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8"/>
      <c r="AS32" s="396">
        <v>2</v>
      </c>
      <c r="AT32" s="397"/>
      <c r="AU32" s="397"/>
      <c r="AV32" s="397"/>
      <c r="AW32" s="397"/>
      <c r="AX32" s="397"/>
      <c r="AY32" s="397"/>
      <c r="AZ32" s="397"/>
      <c r="BA32" s="397"/>
      <c r="BB32" s="398"/>
      <c r="BC32" s="396">
        <v>3</v>
      </c>
      <c r="BD32" s="397"/>
      <c r="BE32" s="397"/>
      <c r="BF32" s="397"/>
      <c r="BG32" s="397"/>
      <c r="BH32" s="397"/>
      <c r="BI32" s="397"/>
      <c r="BJ32" s="397"/>
      <c r="BK32" s="397"/>
      <c r="BL32" s="397"/>
      <c r="BM32" s="398"/>
      <c r="BN32" s="396">
        <v>4</v>
      </c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207"/>
      <c r="CD32" s="216"/>
      <c r="CE32" s="216"/>
      <c r="CF32" s="214"/>
    </row>
    <row r="33" spans="1:84" s="121" customFormat="1" ht="12.75">
      <c r="A33" s="620">
        <v>1</v>
      </c>
      <c r="B33" s="621"/>
      <c r="C33" s="621"/>
      <c r="D33" s="622"/>
      <c r="E33" s="649"/>
      <c r="F33" s="650"/>
      <c r="G33" s="650"/>
      <c r="H33" s="650"/>
      <c r="I33" s="650"/>
      <c r="J33" s="650"/>
      <c r="K33" s="650"/>
      <c r="L33" s="650"/>
      <c r="M33" s="650"/>
      <c r="N33" s="650"/>
      <c r="O33" s="650"/>
      <c r="P33" s="650"/>
      <c r="Q33" s="650"/>
      <c r="R33" s="650"/>
      <c r="S33" s="650"/>
      <c r="T33" s="650"/>
      <c r="U33" s="650"/>
      <c r="V33" s="650"/>
      <c r="W33" s="650"/>
      <c r="X33" s="650"/>
      <c r="Y33" s="650"/>
      <c r="Z33" s="650"/>
      <c r="AA33" s="650"/>
      <c r="AB33" s="650"/>
      <c r="AC33" s="650"/>
      <c r="AD33" s="650"/>
      <c r="AE33" s="650"/>
      <c r="AF33" s="650"/>
      <c r="AG33" s="650"/>
      <c r="AH33" s="650"/>
      <c r="AI33" s="650"/>
      <c r="AJ33" s="650"/>
      <c r="AK33" s="650"/>
      <c r="AL33" s="650"/>
      <c r="AM33" s="650"/>
      <c r="AN33" s="650"/>
      <c r="AO33" s="650"/>
      <c r="AP33" s="650"/>
      <c r="AQ33" s="650"/>
      <c r="AR33" s="651"/>
      <c r="AS33" s="614"/>
      <c r="AT33" s="615"/>
      <c r="AU33" s="615"/>
      <c r="AV33" s="615"/>
      <c r="AW33" s="615"/>
      <c r="AX33" s="615"/>
      <c r="AY33" s="615"/>
      <c r="AZ33" s="615"/>
      <c r="BA33" s="615"/>
      <c r="BB33" s="616"/>
      <c r="BC33" s="646"/>
      <c r="BD33" s="647"/>
      <c r="BE33" s="647"/>
      <c r="BF33" s="647"/>
      <c r="BG33" s="647"/>
      <c r="BH33" s="647"/>
      <c r="BI33" s="647"/>
      <c r="BJ33" s="647"/>
      <c r="BK33" s="647"/>
      <c r="BL33" s="647"/>
      <c r="BM33" s="648"/>
      <c r="BN33" s="617"/>
      <c r="BO33" s="618"/>
      <c r="BP33" s="618"/>
      <c r="BQ33" s="618"/>
      <c r="BR33" s="618"/>
      <c r="BS33" s="618"/>
      <c r="BT33" s="618"/>
      <c r="BU33" s="618"/>
      <c r="BV33" s="618"/>
      <c r="BW33" s="618"/>
      <c r="BX33" s="618"/>
      <c r="BY33" s="618"/>
      <c r="BZ33" s="618"/>
      <c r="CA33" s="618"/>
      <c r="CB33" s="618"/>
      <c r="CC33" s="207"/>
      <c r="CD33" s="207"/>
      <c r="CE33" s="208"/>
      <c r="CF33" s="209"/>
    </row>
    <row r="34" spans="1:84" s="121" customFormat="1" ht="12.75">
      <c r="A34" s="728">
        <v>2</v>
      </c>
      <c r="B34" s="729"/>
      <c r="C34" s="729"/>
      <c r="D34" s="730"/>
      <c r="E34" s="649"/>
      <c r="F34" s="650"/>
      <c r="G34" s="650"/>
      <c r="H34" s="650"/>
      <c r="I34" s="650"/>
      <c r="J34" s="650"/>
      <c r="K34" s="650"/>
      <c r="L34" s="650"/>
      <c r="M34" s="650"/>
      <c r="N34" s="650"/>
      <c r="O34" s="650"/>
      <c r="P34" s="650"/>
      <c r="Q34" s="650"/>
      <c r="R34" s="650"/>
      <c r="S34" s="650"/>
      <c r="T34" s="650"/>
      <c r="U34" s="650"/>
      <c r="V34" s="650"/>
      <c r="W34" s="650"/>
      <c r="X34" s="650"/>
      <c r="Y34" s="650"/>
      <c r="Z34" s="650"/>
      <c r="AA34" s="650"/>
      <c r="AB34" s="650"/>
      <c r="AC34" s="650"/>
      <c r="AD34" s="650"/>
      <c r="AE34" s="650"/>
      <c r="AF34" s="650"/>
      <c r="AG34" s="650"/>
      <c r="AH34" s="650"/>
      <c r="AI34" s="650"/>
      <c r="AJ34" s="650"/>
      <c r="AK34" s="650"/>
      <c r="AL34" s="650"/>
      <c r="AM34" s="650"/>
      <c r="AN34" s="650"/>
      <c r="AO34" s="650"/>
      <c r="AP34" s="650"/>
      <c r="AQ34" s="650"/>
      <c r="AR34" s="651"/>
      <c r="AS34" s="614"/>
      <c r="AT34" s="615"/>
      <c r="AU34" s="615"/>
      <c r="AV34" s="615"/>
      <c r="AW34" s="615"/>
      <c r="AX34" s="615"/>
      <c r="AY34" s="615"/>
      <c r="AZ34" s="615"/>
      <c r="BA34" s="615"/>
      <c r="BB34" s="616"/>
      <c r="BC34" s="646"/>
      <c r="BD34" s="647"/>
      <c r="BE34" s="647"/>
      <c r="BF34" s="647"/>
      <c r="BG34" s="647"/>
      <c r="BH34" s="647"/>
      <c r="BI34" s="647"/>
      <c r="BJ34" s="647"/>
      <c r="BK34" s="647"/>
      <c r="BL34" s="647"/>
      <c r="BM34" s="648"/>
      <c r="BN34" s="617"/>
      <c r="BO34" s="618"/>
      <c r="BP34" s="618"/>
      <c r="BQ34" s="618"/>
      <c r="BR34" s="618"/>
      <c r="BS34" s="618"/>
      <c r="BT34" s="618"/>
      <c r="BU34" s="618"/>
      <c r="BV34" s="618"/>
      <c r="BW34" s="618"/>
      <c r="BX34" s="618"/>
      <c r="BY34" s="618"/>
      <c r="BZ34" s="618"/>
      <c r="CA34" s="618"/>
      <c r="CB34" s="618"/>
      <c r="CC34" s="223"/>
      <c r="CD34" s="207"/>
      <c r="CE34" s="208"/>
      <c r="CF34" s="209"/>
    </row>
    <row r="35" spans="1:84" s="120" customFormat="1" ht="12.75">
      <c r="A35" s="620"/>
      <c r="B35" s="621"/>
      <c r="C35" s="621"/>
      <c r="D35" s="622"/>
      <c r="E35" s="649"/>
      <c r="F35" s="650"/>
      <c r="G35" s="650"/>
      <c r="H35" s="650"/>
      <c r="I35" s="650"/>
      <c r="J35" s="650"/>
      <c r="K35" s="650"/>
      <c r="L35" s="650"/>
      <c r="M35" s="650"/>
      <c r="N35" s="650"/>
      <c r="O35" s="650"/>
      <c r="P35" s="650"/>
      <c r="Q35" s="650"/>
      <c r="R35" s="650"/>
      <c r="S35" s="650"/>
      <c r="T35" s="650"/>
      <c r="U35" s="650"/>
      <c r="V35" s="650"/>
      <c r="W35" s="650"/>
      <c r="X35" s="650"/>
      <c r="Y35" s="650"/>
      <c r="Z35" s="650"/>
      <c r="AA35" s="650"/>
      <c r="AB35" s="650"/>
      <c r="AC35" s="650"/>
      <c r="AD35" s="650"/>
      <c r="AE35" s="650"/>
      <c r="AF35" s="650"/>
      <c r="AG35" s="650"/>
      <c r="AH35" s="650"/>
      <c r="AI35" s="650"/>
      <c r="AJ35" s="650"/>
      <c r="AK35" s="650"/>
      <c r="AL35" s="650"/>
      <c r="AM35" s="650"/>
      <c r="AN35" s="650"/>
      <c r="AO35" s="650"/>
      <c r="AP35" s="650"/>
      <c r="AQ35" s="650"/>
      <c r="AR35" s="651"/>
      <c r="AS35" s="670"/>
      <c r="AT35" s="671"/>
      <c r="AU35" s="671"/>
      <c r="AV35" s="671"/>
      <c r="AW35" s="671"/>
      <c r="AX35" s="671"/>
      <c r="AY35" s="671"/>
      <c r="AZ35" s="671"/>
      <c r="BA35" s="671"/>
      <c r="BB35" s="672"/>
      <c r="BC35" s="646"/>
      <c r="BD35" s="647"/>
      <c r="BE35" s="647"/>
      <c r="BF35" s="647"/>
      <c r="BG35" s="647"/>
      <c r="BH35" s="647"/>
      <c r="BI35" s="647"/>
      <c r="BJ35" s="647"/>
      <c r="BK35" s="647"/>
      <c r="BL35" s="647"/>
      <c r="BM35" s="648"/>
      <c r="BN35" s="617"/>
      <c r="BO35" s="618"/>
      <c r="BP35" s="618"/>
      <c r="BQ35" s="618"/>
      <c r="BR35" s="618"/>
      <c r="BS35" s="618"/>
      <c r="BT35" s="618"/>
      <c r="BU35" s="618"/>
      <c r="BV35" s="618"/>
      <c r="BW35" s="618"/>
      <c r="BX35" s="618"/>
      <c r="BY35" s="618"/>
      <c r="BZ35" s="618"/>
      <c r="CA35" s="618"/>
      <c r="CB35" s="618"/>
      <c r="CC35" s="207"/>
      <c r="CD35" s="208"/>
      <c r="CE35" s="208"/>
      <c r="CF35" s="210"/>
    </row>
    <row r="36" spans="1:84" s="159" customFormat="1" ht="13.5" thickBot="1">
      <c r="A36" s="673"/>
      <c r="B36" s="674"/>
      <c r="C36" s="674"/>
      <c r="D36" s="675"/>
      <c r="E36" s="673" t="s">
        <v>10</v>
      </c>
      <c r="F36" s="674"/>
      <c r="G36" s="674"/>
      <c r="H36" s="674"/>
      <c r="I36" s="674"/>
      <c r="J36" s="674"/>
      <c r="K36" s="674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74"/>
      <c r="AD36" s="674"/>
      <c r="AE36" s="674"/>
      <c r="AF36" s="674"/>
      <c r="AG36" s="674"/>
      <c r="AH36" s="674"/>
      <c r="AI36" s="674"/>
      <c r="AJ36" s="674"/>
      <c r="AK36" s="674"/>
      <c r="AL36" s="674"/>
      <c r="AM36" s="674"/>
      <c r="AN36" s="674"/>
      <c r="AO36" s="674"/>
      <c r="AP36" s="674"/>
      <c r="AQ36" s="674"/>
      <c r="AR36" s="675"/>
      <c r="AS36" s="679">
        <v>0</v>
      </c>
      <c r="AT36" s="680"/>
      <c r="AU36" s="680"/>
      <c r="AV36" s="680"/>
      <c r="AW36" s="680"/>
      <c r="AX36" s="680"/>
      <c r="AY36" s="680"/>
      <c r="AZ36" s="680"/>
      <c r="BA36" s="680"/>
      <c r="BB36" s="681"/>
      <c r="BC36" s="679">
        <v>0</v>
      </c>
      <c r="BD36" s="680"/>
      <c r="BE36" s="680"/>
      <c r="BF36" s="680"/>
      <c r="BG36" s="680"/>
      <c r="BH36" s="680"/>
      <c r="BI36" s="680"/>
      <c r="BJ36" s="680"/>
      <c r="BK36" s="680"/>
      <c r="BL36" s="680"/>
      <c r="BM36" s="681"/>
      <c r="BN36" s="691">
        <f>SUM(BN33:CB35)</f>
        <v>0</v>
      </c>
      <c r="BO36" s="692"/>
      <c r="BP36" s="692"/>
      <c r="BQ36" s="692"/>
      <c r="BR36" s="692"/>
      <c r="BS36" s="692"/>
      <c r="BT36" s="692"/>
      <c r="BU36" s="692"/>
      <c r="BV36" s="692"/>
      <c r="BW36" s="692"/>
      <c r="BX36" s="692"/>
      <c r="BY36" s="692"/>
      <c r="BZ36" s="692"/>
      <c r="CA36" s="692"/>
      <c r="CB36" s="692"/>
      <c r="CC36" s="211"/>
      <c r="CD36" s="211"/>
      <c r="CE36" s="211"/>
      <c r="CF36" s="188"/>
    </row>
    <row r="37" spans="1:84" s="114" customFormat="1" ht="15.75">
      <c r="A37" s="669" t="s">
        <v>405</v>
      </c>
      <c r="B37" s="669"/>
      <c r="C37" s="669"/>
      <c r="D37" s="669"/>
      <c r="E37" s="669"/>
      <c r="F37" s="669"/>
      <c r="G37" s="669"/>
      <c r="H37" s="669"/>
      <c r="I37" s="669"/>
      <c r="J37" s="669"/>
      <c r="K37" s="669"/>
      <c r="L37" s="669"/>
      <c r="M37" s="669"/>
      <c r="N37" s="669"/>
      <c r="O37" s="669"/>
      <c r="P37" s="669"/>
      <c r="Q37" s="669"/>
      <c r="R37" s="669"/>
      <c r="S37" s="669"/>
      <c r="T37" s="669"/>
      <c r="U37" s="669"/>
      <c r="V37" s="669"/>
      <c r="W37" s="669"/>
      <c r="X37" s="669"/>
      <c r="Y37" s="669"/>
      <c r="Z37" s="669"/>
      <c r="AA37" s="669"/>
      <c r="AB37" s="669"/>
      <c r="AC37" s="669"/>
      <c r="AD37" s="669"/>
      <c r="AE37" s="669"/>
      <c r="AF37" s="669"/>
      <c r="AG37" s="669"/>
      <c r="AH37" s="669"/>
      <c r="AI37" s="669"/>
      <c r="AJ37" s="669"/>
      <c r="AK37" s="669"/>
      <c r="AL37" s="669"/>
      <c r="AM37" s="669"/>
      <c r="AN37" s="669"/>
      <c r="AO37" s="669"/>
      <c r="AP37" s="669"/>
      <c r="AQ37" s="669"/>
      <c r="AR37" s="669"/>
      <c r="AS37" s="669"/>
      <c r="AT37" s="669"/>
      <c r="AU37" s="669"/>
      <c r="AV37" s="669"/>
      <c r="AW37" s="669"/>
      <c r="AX37" s="669"/>
      <c r="AY37" s="669"/>
      <c r="AZ37" s="669"/>
      <c r="BA37" s="669"/>
      <c r="BB37" s="669"/>
      <c r="BC37" s="669"/>
      <c r="BD37" s="669"/>
      <c r="BE37" s="669"/>
      <c r="BF37" s="669"/>
      <c r="BG37" s="669"/>
      <c r="BH37" s="669"/>
      <c r="BI37" s="669"/>
      <c r="BJ37" s="669"/>
      <c r="BK37" s="669"/>
      <c r="BL37" s="669"/>
      <c r="BM37" s="669"/>
      <c r="BN37" s="669"/>
      <c r="BO37" s="669"/>
      <c r="BP37" s="669"/>
      <c r="BQ37" s="669"/>
      <c r="BR37" s="669"/>
      <c r="BS37" s="669"/>
      <c r="BT37" s="669"/>
      <c r="BU37" s="669"/>
      <c r="BV37" s="669"/>
      <c r="BW37" s="669"/>
      <c r="BX37" s="669"/>
      <c r="BY37" s="669"/>
      <c r="BZ37" s="669"/>
      <c r="CA37" s="669"/>
      <c r="CB37" s="669"/>
      <c r="CC37" s="217"/>
      <c r="CD37" s="220"/>
      <c r="CE37" s="220"/>
      <c r="CF37" s="221"/>
    </row>
    <row r="38" spans="1:84" s="114" customFormat="1" ht="15.75">
      <c r="A38" s="669" t="s">
        <v>406</v>
      </c>
      <c r="B38" s="669"/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  <c r="AS38" s="669"/>
      <c r="AT38" s="669"/>
      <c r="AU38" s="669"/>
      <c r="AV38" s="669"/>
      <c r="AW38" s="669"/>
      <c r="AX38" s="669"/>
      <c r="AY38" s="669"/>
      <c r="AZ38" s="669"/>
      <c r="BA38" s="669"/>
      <c r="BB38" s="669"/>
      <c r="BC38" s="669"/>
      <c r="BD38" s="669"/>
      <c r="BE38" s="669"/>
      <c r="BF38" s="669"/>
      <c r="BG38" s="669"/>
      <c r="BH38" s="669"/>
      <c r="BI38" s="669"/>
      <c r="BJ38" s="669"/>
      <c r="BK38" s="669"/>
      <c r="BL38" s="669"/>
      <c r="BM38" s="669"/>
      <c r="BN38" s="669"/>
      <c r="BO38" s="669"/>
      <c r="BP38" s="669"/>
      <c r="BQ38" s="669"/>
      <c r="BR38" s="669"/>
      <c r="BS38" s="669"/>
      <c r="BT38" s="669"/>
      <c r="BU38" s="669"/>
      <c r="BV38" s="669"/>
      <c r="BW38" s="669"/>
      <c r="BX38" s="669"/>
      <c r="BY38" s="669"/>
      <c r="BZ38" s="669"/>
      <c r="CA38" s="669"/>
      <c r="CB38" s="669"/>
      <c r="CC38" s="217"/>
      <c r="CD38" s="220"/>
      <c r="CE38" s="220"/>
      <c r="CF38" s="221"/>
    </row>
    <row r="39" spans="1:84" s="116" customFormat="1" ht="9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222"/>
      <c r="CD39" s="218"/>
      <c r="CE39" s="218"/>
      <c r="CF39" s="219"/>
    </row>
    <row r="40" spans="1:84" ht="12.75">
      <c r="A40" s="364" t="s">
        <v>5</v>
      </c>
      <c r="B40" s="365"/>
      <c r="C40" s="365"/>
      <c r="D40" s="368"/>
      <c r="E40" s="364" t="s">
        <v>13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8"/>
      <c r="AS40" s="364" t="s">
        <v>18</v>
      </c>
      <c r="AT40" s="365"/>
      <c r="AU40" s="365"/>
      <c r="AV40" s="365"/>
      <c r="AW40" s="365"/>
      <c r="AX40" s="365"/>
      <c r="AY40" s="365"/>
      <c r="AZ40" s="365"/>
      <c r="BA40" s="365"/>
      <c r="BB40" s="368"/>
      <c r="BC40" s="364" t="s">
        <v>106</v>
      </c>
      <c r="BD40" s="365"/>
      <c r="BE40" s="365"/>
      <c r="BF40" s="365"/>
      <c r="BG40" s="365"/>
      <c r="BH40" s="365"/>
      <c r="BI40" s="365"/>
      <c r="BJ40" s="365"/>
      <c r="BK40" s="365"/>
      <c r="BL40" s="365"/>
      <c r="BM40" s="368"/>
      <c r="BN40" s="364" t="s">
        <v>22</v>
      </c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207"/>
      <c r="CD40" s="216"/>
      <c r="CE40" s="216"/>
      <c r="CF40" s="214"/>
    </row>
    <row r="41" spans="1:84" ht="12.75">
      <c r="A41" s="366" t="s">
        <v>6</v>
      </c>
      <c r="B41" s="367"/>
      <c r="C41" s="367"/>
      <c r="D41" s="369"/>
      <c r="E41" s="366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9"/>
      <c r="AS41" s="366"/>
      <c r="AT41" s="367"/>
      <c r="AU41" s="367"/>
      <c r="AV41" s="367"/>
      <c r="AW41" s="367"/>
      <c r="AX41" s="367"/>
      <c r="AY41" s="367"/>
      <c r="AZ41" s="367"/>
      <c r="BA41" s="367"/>
      <c r="BB41" s="369"/>
      <c r="BC41" s="366" t="s">
        <v>107</v>
      </c>
      <c r="BD41" s="367"/>
      <c r="BE41" s="367"/>
      <c r="BF41" s="367"/>
      <c r="BG41" s="367"/>
      <c r="BH41" s="367"/>
      <c r="BI41" s="367"/>
      <c r="BJ41" s="367"/>
      <c r="BK41" s="367"/>
      <c r="BL41" s="367"/>
      <c r="BM41" s="369"/>
      <c r="BN41" s="366" t="s">
        <v>117</v>
      </c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207"/>
      <c r="CD41" s="216"/>
      <c r="CE41" s="216"/>
      <c r="CF41" s="214"/>
    </row>
    <row r="42" spans="1:84" ht="12.75">
      <c r="A42" s="366"/>
      <c r="B42" s="367"/>
      <c r="C42" s="367"/>
      <c r="D42" s="369"/>
      <c r="E42" s="366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9"/>
      <c r="AS42" s="366"/>
      <c r="AT42" s="367"/>
      <c r="AU42" s="367"/>
      <c r="AV42" s="367"/>
      <c r="AW42" s="367"/>
      <c r="AX42" s="367"/>
      <c r="AY42" s="367"/>
      <c r="AZ42" s="367"/>
      <c r="BA42" s="367"/>
      <c r="BB42" s="369"/>
      <c r="BC42" s="366" t="s">
        <v>17</v>
      </c>
      <c r="BD42" s="367"/>
      <c r="BE42" s="367"/>
      <c r="BF42" s="367"/>
      <c r="BG42" s="367"/>
      <c r="BH42" s="367"/>
      <c r="BI42" s="367"/>
      <c r="BJ42" s="367"/>
      <c r="BK42" s="367"/>
      <c r="BL42" s="367"/>
      <c r="BM42" s="369"/>
      <c r="BN42" s="366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207"/>
      <c r="CD42" s="216"/>
      <c r="CE42" s="216"/>
      <c r="CF42" s="214"/>
    </row>
    <row r="43" spans="1:84" s="120" customFormat="1" ht="12.75">
      <c r="A43" s="620">
        <v>1</v>
      </c>
      <c r="B43" s="621"/>
      <c r="C43" s="621"/>
      <c r="D43" s="622"/>
      <c r="E43" s="649" t="s">
        <v>350</v>
      </c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650"/>
      <c r="AM43" s="650"/>
      <c r="AN43" s="650"/>
      <c r="AO43" s="650"/>
      <c r="AP43" s="650"/>
      <c r="AQ43" s="650"/>
      <c r="AR43" s="651"/>
      <c r="AS43" s="670"/>
      <c r="AT43" s="671"/>
      <c r="AU43" s="671"/>
      <c r="AV43" s="671"/>
      <c r="AW43" s="671"/>
      <c r="AX43" s="671"/>
      <c r="AY43" s="671"/>
      <c r="AZ43" s="671"/>
      <c r="BA43" s="671"/>
      <c r="BB43" s="672"/>
      <c r="BC43" s="646"/>
      <c r="BD43" s="647"/>
      <c r="BE43" s="647"/>
      <c r="BF43" s="647"/>
      <c r="BG43" s="647"/>
      <c r="BH43" s="647"/>
      <c r="BI43" s="647"/>
      <c r="BJ43" s="647"/>
      <c r="BK43" s="647"/>
      <c r="BL43" s="647"/>
      <c r="BM43" s="648"/>
      <c r="BN43" s="617">
        <v>10000</v>
      </c>
      <c r="BO43" s="618"/>
      <c r="BP43" s="618"/>
      <c r="BQ43" s="618"/>
      <c r="BR43" s="618"/>
      <c r="BS43" s="618"/>
      <c r="BT43" s="618"/>
      <c r="BU43" s="618"/>
      <c r="BV43" s="618"/>
      <c r="BW43" s="618"/>
      <c r="BX43" s="618"/>
      <c r="BY43" s="618"/>
      <c r="BZ43" s="618"/>
      <c r="CA43" s="618"/>
      <c r="CB43" s="619"/>
      <c r="CC43" s="117">
        <v>9880</v>
      </c>
      <c r="CD43" s="111">
        <v>9880</v>
      </c>
      <c r="CE43" s="111">
        <f>CC43-CD43</f>
        <v>0</v>
      </c>
      <c r="CF43" s="227">
        <f aca="true" t="shared" si="0" ref="CF43:CF48">BN43-CC43</f>
        <v>120</v>
      </c>
    </row>
    <row r="44" spans="1:84" s="120" customFormat="1" ht="12.75">
      <c r="A44" s="283"/>
      <c r="B44" s="284"/>
      <c r="C44" s="284">
        <v>2</v>
      </c>
      <c r="D44" s="285"/>
      <c r="E44" s="748" t="s">
        <v>349</v>
      </c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  <c r="AN44" s="749"/>
      <c r="AO44" s="749"/>
      <c r="AP44" s="749"/>
      <c r="AQ44" s="749"/>
      <c r="AR44" s="750"/>
      <c r="AS44" s="287"/>
      <c r="AT44" s="288"/>
      <c r="AU44" s="288"/>
      <c r="AV44" s="288"/>
      <c r="AW44" s="288"/>
      <c r="AX44" s="288"/>
      <c r="AY44" s="288"/>
      <c r="AZ44" s="288"/>
      <c r="BA44" s="288"/>
      <c r="BB44" s="289"/>
      <c r="BC44" s="280"/>
      <c r="BD44" s="281"/>
      <c r="BE44" s="281"/>
      <c r="BF44" s="281"/>
      <c r="BG44" s="281"/>
      <c r="BH44" s="281"/>
      <c r="BI44" s="281"/>
      <c r="BJ44" s="281"/>
      <c r="BK44" s="281"/>
      <c r="BL44" s="281"/>
      <c r="BM44" s="282"/>
      <c r="BN44" s="751">
        <v>4700</v>
      </c>
      <c r="BO44" s="752"/>
      <c r="BP44" s="752"/>
      <c r="BQ44" s="752"/>
      <c r="BR44" s="752"/>
      <c r="BS44" s="752"/>
      <c r="BT44" s="752"/>
      <c r="BU44" s="752"/>
      <c r="BV44" s="752"/>
      <c r="BW44" s="752"/>
      <c r="BX44" s="752"/>
      <c r="BY44" s="752"/>
      <c r="BZ44" s="286"/>
      <c r="CA44" s="286"/>
      <c r="CB44" s="290"/>
      <c r="CC44" s="117">
        <v>4700</v>
      </c>
      <c r="CD44" s="111">
        <v>4700</v>
      </c>
      <c r="CE44" s="111">
        <f>CC44-CD44</f>
        <v>0</v>
      </c>
      <c r="CF44" s="227">
        <f t="shared" si="0"/>
        <v>0</v>
      </c>
    </row>
    <row r="45" spans="1:84" s="121" customFormat="1" ht="12.75">
      <c r="A45" s="620">
        <v>2</v>
      </c>
      <c r="B45" s="621"/>
      <c r="C45" s="621"/>
      <c r="D45" s="622"/>
      <c r="E45" s="649" t="s">
        <v>130</v>
      </c>
      <c r="F45" s="650"/>
      <c r="G45" s="650"/>
      <c r="H45" s="650"/>
      <c r="I45" s="650"/>
      <c r="J45" s="650"/>
      <c r="K45" s="650"/>
      <c r="L45" s="650"/>
      <c r="M45" s="650"/>
      <c r="N45" s="650"/>
      <c r="O45" s="650"/>
      <c r="P45" s="650"/>
      <c r="Q45" s="650"/>
      <c r="R45" s="650"/>
      <c r="S45" s="650"/>
      <c r="T45" s="650"/>
      <c r="U45" s="650"/>
      <c r="V45" s="650"/>
      <c r="W45" s="650"/>
      <c r="X45" s="650"/>
      <c r="Y45" s="650"/>
      <c r="Z45" s="650"/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650"/>
      <c r="AL45" s="650"/>
      <c r="AM45" s="650"/>
      <c r="AN45" s="650"/>
      <c r="AO45" s="650"/>
      <c r="AP45" s="650"/>
      <c r="AQ45" s="650"/>
      <c r="AR45" s="651"/>
      <c r="AS45" s="614"/>
      <c r="AT45" s="615"/>
      <c r="AU45" s="615"/>
      <c r="AV45" s="615"/>
      <c r="AW45" s="615"/>
      <c r="AX45" s="615"/>
      <c r="AY45" s="615"/>
      <c r="AZ45" s="615"/>
      <c r="BA45" s="615"/>
      <c r="BB45" s="616"/>
      <c r="BC45" s="646"/>
      <c r="BD45" s="647"/>
      <c r="BE45" s="647"/>
      <c r="BF45" s="647"/>
      <c r="BG45" s="647"/>
      <c r="BH45" s="647"/>
      <c r="BI45" s="647"/>
      <c r="BJ45" s="647"/>
      <c r="BK45" s="647"/>
      <c r="BL45" s="647"/>
      <c r="BM45" s="648"/>
      <c r="BN45" s="617">
        <f>10000-164+9352.36</f>
        <v>19188.36</v>
      </c>
      <c r="BO45" s="618"/>
      <c r="BP45" s="618"/>
      <c r="BQ45" s="618"/>
      <c r="BR45" s="618"/>
      <c r="BS45" s="618"/>
      <c r="BT45" s="618"/>
      <c r="BU45" s="618"/>
      <c r="BV45" s="618"/>
      <c r="BW45" s="618"/>
      <c r="BX45" s="618"/>
      <c r="BY45" s="618"/>
      <c r="BZ45" s="618"/>
      <c r="CA45" s="618"/>
      <c r="CB45" s="619"/>
      <c r="CC45" s="117">
        <f>9352-164+10000.36</f>
        <v>19188.36</v>
      </c>
      <c r="CD45" s="117">
        <f>9352-164+10000.36</f>
        <v>19188.36</v>
      </c>
      <c r="CE45" s="111">
        <f>CC45-CD45</f>
        <v>0</v>
      </c>
      <c r="CF45" s="228">
        <f t="shared" si="0"/>
        <v>0</v>
      </c>
    </row>
    <row r="46" spans="1:84" s="120" customFormat="1" ht="19.5" customHeight="1">
      <c r="A46" s="620">
        <v>3</v>
      </c>
      <c r="B46" s="621"/>
      <c r="C46" s="621"/>
      <c r="D46" s="622"/>
      <c r="E46" s="623" t="s">
        <v>385</v>
      </c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4"/>
      <c r="AJ46" s="624"/>
      <c r="AK46" s="624"/>
      <c r="AL46" s="624"/>
      <c r="AM46" s="624"/>
      <c r="AN46" s="624"/>
      <c r="AO46" s="624"/>
      <c r="AP46" s="624"/>
      <c r="AQ46" s="624"/>
      <c r="AR46" s="625"/>
      <c r="AS46" s="670"/>
      <c r="AT46" s="671"/>
      <c r="AU46" s="671"/>
      <c r="AV46" s="671"/>
      <c r="AW46" s="671"/>
      <c r="AX46" s="671"/>
      <c r="AY46" s="671"/>
      <c r="AZ46" s="671"/>
      <c r="BA46" s="671"/>
      <c r="BB46" s="672"/>
      <c r="BC46" s="646"/>
      <c r="BD46" s="647"/>
      <c r="BE46" s="647"/>
      <c r="BF46" s="647"/>
      <c r="BG46" s="647"/>
      <c r="BH46" s="647"/>
      <c r="BI46" s="647"/>
      <c r="BJ46" s="647"/>
      <c r="BK46" s="647"/>
      <c r="BL46" s="647"/>
      <c r="BM46" s="648"/>
      <c r="BN46" s="617">
        <v>20000</v>
      </c>
      <c r="BO46" s="618"/>
      <c r="BP46" s="618"/>
      <c r="BQ46" s="618"/>
      <c r="BR46" s="618"/>
      <c r="BS46" s="618"/>
      <c r="BT46" s="618"/>
      <c r="BU46" s="618"/>
      <c r="BV46" s="618"/>
      <c r="BW46" s="618"/>
      <c r="BX46" s="618"/>
      <c r="BY46" s="618"/>
      <c r="BZ46" s="618"/>
      <c r="CA46" s="618"/>
      <c r="CB46" s="619"/>
      <c r="CC46" s="117">
        <v>10200</v>
      </c>
      <c r="CD46" s="111">
        <v>10200</v>
      </c>
      <c r="CE46" s="111">
        <f>CC46-CD46</f>
        <v>0</v>
      </c>
      <c r="CF46" s="227">
        <f t="shared" si="0"/>
        <v>9800</v>
      </c>
    </row>
    <row r="47" spans="1:84" s="120" customFormat="1" ht="18" customHeight="1">
      <c r="A47" s="620">
        <v>4</v>
      </c>
      <c r="B47" s="621"/>
      <c r="C47" s="621"/>
      <c r="D47" s="622"/>
      <c r="E47" s="623" t="s">
        <v>387</v>
      </c>
      <c r="F47" s="624"/>
      <c r="G47" s="624"/>
      <c r="H47" s="624"/>
      <c r="I47" s="624"/>
      <c r="J47" s="624"/>
      <c r="K47" s="624"/>
      <c r="L47" s="624"/>
      <c r="M47" s="624"/>
      <c r="N47" s="624"/>
      <c r="O47" s="624"/>
      <c r="P47" s="624"/>
      <c r="Q47" s="624"/>
      <c r="R47" s="624"/>
      <c r="S47" s="624"/>
      <c r="T47" s="624"/>
      <c r="U47" s="624"/>
      <c r="V47" s="624"/>
      <c r="W47" s="624"/>
      <c r="X47" s="624"/>
      <c r="Y47" s="624"/>
      <c r="Z47" s="624"/>
      <c r="AA47" s="624"/>
      <c r="AB47" s="624"/>
      <c r="AC47" s="624"/>
      <c r="AD47" s="624"/>
      <c r="AE47" s="624"/>
      <c r="AF47" s="624"/>
      <c r="AG47" s="624"/>
      <c r="AH47" s="624"/>
      <c r="AI47" s="624"/>
      <c r="AJ47" s="624"/>
      <c r="AK47" s="624"/>
      <c r="AL47" s="624"/>
      <c r="AM47" s="624"/>
      <c r="AN47" s="624"/>
      <c r="AO47" s="624"/>
      <c r="AP47" s="624"/>
      <c r="AQ47" s="624"/>
      <c r="AR47" s="625"/>
      <c r="AS47" s="626"/>
      <c r="AT47" s="627"/>
      <c r="AU47" s="627"/>
      <c r="AV47" s="627"/>
      <c r="AW47" s="627"/>
      <c r="AX47" s="627"/>
      <c r="AY47" s="627"/>
      <c r="AZ47" s="627"/>
      <c r="BA47" s="627"/>
      <c r="BB47" s="628"/>
      <c r="BC47" s="629"/>
      <c r="BD47" s="630"/>
      <c r="BE47" s="630"/>
      <c r="BF47" s="630"/>
      <c r="BG47" s="630"/>
      <c r="BH47" s="630"/>
      <c r="BI47" s="630"/>
      <c r="BJ47" s="630"/>
      <c r="BK47" s="630"/>
      <c r="BL47" s="630"/>
      <c r="BM47" s="631"/>
      <c r="BN47" s="617">
        <v>319.88</v>
      </c>
      <c r="BO47" s="618"/>
      <c r="BP47" s="618"/>
      <c r="BQ47" s="618"/>
      <c r="BR47" s="618"/>
      <c r="BS47" s="618"/>
      <c r="BT47" s="618"/>
      <c r="BU47" s="618"/>
      <c r="BV47" s="618"/>
      <c r="BW47" s="618"/>
      <c r="BX47" s="618"/>
      <c r="BY47" s="618"/>
      <c r="BZ47" s="618"/>
      <c r="CA47" s="618"/>
      <c r="CB47" s="619"/>
      <c r="CC47" s="162"/>
      <c r="CD47" s="163"/>
      <c r="CE47" s="111">
        <f>CC47-CD47</f>
        <v>0</v>
      </c>
      <c r="CF47" s="227">
        <f t="shared" si="0"/>
        <v>319.88</v>
      </c>
    </row>
    <row r="48" spans="1:84" s="120" customFormat="1" ht="18" customHeight="1">
      <c r="A48" s="620">
        <v>5</v>
      </c>
      <c r="B48" s="621"/>
      <c r="C48" s="621"/>
      <c r="D48" s="622"/>
      <c r="E48" s="623" t="s">
        <v>427</v>
      </c>
      <c r="F48" s="624"/>
      <c r="G48" s="624"/>
      <c r="H48" s="624"/>
      <c r="I48" s="624"/>
      <c r="J48" s="624"/>
      <c r="K48" s="624"/>
      <c r="L48" s="624"/>
      <c r="M48" s="624"/>
      <c r="N48" s="624"/>
      <c r="O48" s="624"/>
      <c r="P48" s="624"/>
      <c r="Q48" s="624"/>
      <c r="R48" s="624"/>
      <c r="S48" s="624"/>
      <c r="T48" s="624"/>
      <c r="U48" s="624"/>
      <c r="V48" s="624"/>
      <c r="W48" s="624"/>
      <c r="X48" s="624"/>
      <c r="Y48" s="624"/>
      <c r="Z48" s="624"/>
      <c r="AA48" s="624"/>
      <c r="AB48" s="624"/>
      <c r="AC48" s="624"/>
      <c r="AD48" s="624"/>
      <c r="AE48" s="624"/>
      <c r="AF48" s="624"/>
      <c r="AG48" s="624"/>
      <c r="AH48" s="624"/>
      <c r="AI48" s="624"/>
      <c r="AJ48" s="624"/>
      <c r="AK48" s="624"/>
      <c r="AL48" s="624"/>
      <c r="AM48" s="624"/>
      <c r="AN48" s="624"/>
      <c r="AO48" s="624"/>
      <c r="AP48" s="624"/>
      <c r="AQ48" s="624"/>
      <c r="AR48" s="625"/>
      <c r="AS48" s="626"/>
      <c r="AT48" s="627"/>
      <c r="AU48" s="627"/>
      <c r="AV48" s="627"/>
      <c r="AW48" s="627"/>
      <c r="AX48" s="627"/>
      <c r="AY48" s="627"/>
      <c r="AZ48" s="627"/>
      <c r="BA48" s="627"/>
      <c r="BB48" s="628"/>
      <c r="BC48" s="629"/>
      <c r="BD48" s="630"/>
      <c r="BE48" s="630"/>
      <c r="BF48" s="630"/>
      <c r="BG48" s="630"/>
      <c r="BH48" s="630"/>
      <c r="BI48" s="630"/>
      <c r="BJ48" s="630"/>
      <c r="BK48" s="630"/>
      <c r="BL48" s="630"/>
      <c r="BM48" s="631"/>
      <c r="BN48" s="617">
        <v>4814</v>
      </c>
      <c r="BO48" s="618"/>
      <c r="BP48" s="618"/>
      <c r="BQ48" s="618"/>
      <c r="BR48" s="618"/>
      <c r="BS48" s="618"/>
      <c r="BT48" s="618"/>
      <c r="BU48" s="618"/>
      <c r="BV48" s="618"/>
      <c r="BW48" s="618"/>
      <c r="BX48" s="618"/>
      <c r="BY48" s="618"/>
      <c r="BZ48" s="618"/>
      <c r="CA48" s="618"/>
      <c r="CB48" s="619"/>
      <c r="CC48" s="117"/>
      <c r="CD48" s="111"/>
      <c r="CE48" s="111"/>
      <c r="CF48" s="227">
        <f t="shared" si="0"/>
        <v>4814</v>
      </c>
    </row>
    <row r="49" spans="1:84" s="120" customFormat="1" ht="18" customHeight="1">
      <c r="A49" s="269"/>
      <c r="B49" s="270"/>
      <c r="C49" s="270">
        <v>6</v>
      </c>
      <c r="D49" s="271"/>
      <c r="E49" s="753" t="s">
        <v>435</v>
      </c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4"/>
      <c r="AK49" s="754"/>
      <c r="AL49" s="754"/>
      <c r="AM49" s="754"/>
      <c r="AN49" s="754"/>
      <c r="AO49" s="754"/>
      <c r="AP49" s="754"/>
      <c r="AQ49" s="754"/>
      <c r="AR49" s="755"/>
      <c r="AS49" s="272"/>
      <c r="AT49" s="273"/>
      <c r="AU49" s="273"/>
      <c r="AV49" s="273"/>
      <c r="AW49" s="273"/>
      <c r="AX49" s="273"/>
      <c r="AY49" s="273"/>
      <c r="AZ49" s="273"/>
      <c r="BA49" s="273"/>
      <c r="BB49" s="274"/>
      <c r="BC49" s="275"/>
      <c r="BD49" s="276"/>
      <c r="BE49" s="276"/>
      <c r="BF49" s="276"/>
      <c r="BG49" s="276"/>
      <c r="BH49" s="276"/>
      <c r="BI49" s="276"/>
      <c r="BJ49" s="276"/>
      <c r="BK49" s="276"/>
      <c r="BL49" s="276"/>
      <c r="BM49" s="277"/>
      <c r="BN49" s="278"/>
      <c r="BO49" s="756">
        <v>4814</v>
      </c>
      <c r="BP49" s="756"/>
      <c r="BQ49" s="756"/>
      <c r="BR49" s="756"/>
      <c r="BS49" s="756"/>
      <c r="BT49" s="756"/>
      <c r="BU49" s="756"/>
      <c r="BV49" s="756"/>
      <c r="BW49" s="756"/>
      <c r="BX49" s="756"/>
      <c r="BY49" s="756"/>
      <c r="BZ49" s="279"/>
      <c r="CA49" s="279"/>
      <c r="CB49" s="279"/>
      <c r="CC49" s="117">
        <v>4814</v>
      </c>
      <c r="CD49" s="111">
        <v>4814</v>
      </c>
      <c r="CE49" s="111"/>
      <c r="CF49" s="227"/>
    </row>
    <row r="50" spans="1:84" s="159" customFormat="1" ht="13.5" thickBot="1">
      <c r="A50" s="673"/>
      <c r="B50" s="674"/>
      <c r="C50" s="674"/>
      <c r="D50" s="675"/>
      <c r="E50" s="673" t="s">
        <v>10</v>
      </c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4"/>
      <c r="W50" s="674"/>
      <c r="X50" s="674"/>
      <c r="Y50" s="674"/>
      <c r="Z50" s="674"/>
      <c r="AA50" s="674"/>
      <c r="AB50" s="674"/>
      <c r="AC50" s="674"/>
      <c r="AD50" s="674"/>
      <c r="AE50" s="674"/>
      <c r="AF50" s="674"/>
      <c r="AG50" s="674"/>
      <c r="AH50" s="674"/>
      <c r="AI50" s="674"/>
      <c r="AJ50" s="674"/>
      <c r="AK50" s="674"/>
      <c r="AL50" s="674"/>
      <c r="AM50" s="674"/>
      <c r="AN50" s="674"/>
      <c r="AO50" s="674"/>
      <c r="AP50" s="674"/>
      <c r="AQ50" s="674"/>
      <c r="AR50" s="675"/>
      <c r="AS50" s="679">
        <v>0</v>
      </c>
      <c r="AT50" s="680"/>
      <c r="AU50" s="680"/>
      <c r="AV50" s="680"/>
      <c r="AW50" s="680"/>
      <c r="AX50" s="680"/>
      <c r="AY50" s="680"/>
      <c r="AZ50" s="680"/>
      <c r="BA50" s="680"/>
      <c r="BB50" s="681"/>
      <c r="BC50" s="679">
        <v>0</v>
      </c>
      <c r="BD50" s="680"/>
      <c r="BE50" s="680"/>
      <c r="BF50" s="680"/>
      <c r="BG50" s="680"/>
      <c r="BH50" s="680"/>
      <c r="BI50" s="680"/>
      <c r="BJ50" s="680"/>
      <c r="BK50" s="680"/>
      <c r="BL50" s="680"/>
      <c r="BM50" s="681"/>
      <c r="BN50" s="691">
        <f>SUM(BN43:CB49)</f>
        <v>63836.24</v>
      </c>
      <c r="BO50" s="692"/>
      <c r="BP50" s="692"/>
      <c r="BQ50" s="692"/>
      <c r="BR50" s="692"/>
      <c r="BS50" s="692"/>
      <c r="BT50" s="692"/>
      <c r="BU50" s="692"/>
      <c r="BV50" s="692"/>
      <c r="BW50" s="692"/>
      <c r="BX50" s="692"/>
      <c r="BY50" s="692"/>
      <c r="BZ50" s="692"/>
      <c r="CA50" s="692"/>
      <c r="CB50" s="692"/>
      <c r="CC50" s="211"/>
      <c r="CD50" s="211"/>
      <c r="CE50" s="211"/>
      <c r="CF50" s="188"/>
    </row>
    <row r="51" spans="1:84" s="114" customFormat="1" ht="15.75">
      <c r="A51" s="669" t="s">
        <v>407</v>
      </c>
      <c r="B51" s="669"/>
      <c r="C51" s="669"/>
      <c r="D51" s="669"/>
      <c r="E51" s="669"/>
      <c r="F51" s="669"/>
      <c r="G51" s="669"/>
      <c r="H51" s="669"/>
      <c r="I51" s="669"/>
      <c r="J51" s="669"/>
      <c r="K51" s="669"/>
      <c r="L51" s="669"/>
      <c r="M51" s="669"/>
      <c r="N51" s="669"/>
      <c r="O51" s="669"/>
      <c r="P51" s="669"/>
      <c r="Q51" s="669"/>
      <c r="R51" s="669"/>
      <c r="S51" s="669"/>
      <c r="T51" s="669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  <c r="AG51" s="669"/>
      <c r="AH51" s="669"/>
      <c r="AI51" s="669"/>
      <c r="AJ51" s="669"/>
      <c r="AK51" s="669"/>
      <c r="AL51" s="669"/>
      <c r="AM51" s="669"/>
      <c r="AN51" s="669"/>
      <c r="AO51" s="669"/>
      <c r="AP51" s="669"/>
      <c r="AQ51" s="669"/>
      <c r="AR51" s="669"/>
      <c r="AS51" s="669"/>
      <c r="AT51" s="669"/>
      <c r="AU51" s="669"/>
      <c r="AV51" s="669"/>
      <c r="AW51" s="669"/>
      <c r="AX51" s="669"/>
      <c r="AY51" s="669"/>
      <c r="AZ51" s="669"/>
      <c r="BA51" s="669"/>
      <c r="BB51" s="669"/>
      <c r="BC51" s="669"/>
      <c r="BD51" s="669"/>
      <c r="BE51" s="669"/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69"/>
      <c r="BQ51" s="669"/>
      <c r="BR51" s="669"/>
      <c r="BS51" s="669"/>
      <c r="BT51" s="669"/>
      <c r="BU51" s="669"/>
      <c r="BV51" s="669"/>
      <c r="BW51" s="669"/>
      <c r="BX51" s="669"/>
      <c r="BY51" s="669"/>
      <c r="BZ51" s="669"/>
      <c r="CA51" s="669"/>
      <c r="CB51" s="669"/>
      <c r="CC51" s="217"/>
      <c r="CD51" s="220"/>
      <c r="CE51" s="220"/>
      <c r="CF51" s="221"/>
    </row>
    <row r="52" spans="1:84" s="114" customFormat="1" ht="15.75">
      <c r="A52" s="669" t="s">
        <v>408</v>
      </c>
      <c r="B52" s="669"/>
      <c r="C52" s="669"/>
      <c r="D52" s="669"/>
      <c r="E52" s="669"/>
      <c r="F52" s="669"/>
      <c r="G52" s="669"/>
      <c r="H52" s="669"/>
      <c r="I52" s="669"/>
      <c r="J52" s="669"/>
      <c r="K52" s="669"/>
      <c r="L52" s="669"/>
      <c r="M52" s="669"/>
      <c r="N52" s="669"/>
      <c r="O52" s="669"/>
      <c r="P52" s="669"/>
      <c r="Q52" s="669"/>
      <c r="R52" s="669"/>
      <c r="S52" s="669"/>
      <c r="T52" s="669"/>
      <c r="U52" s="669"/>
      <c r="V52" s="669"/>
      <c r="W52" s="669"/>
      <c r="X52" s="669"/>
      <c r="Y52" s="669"/>
      <c r="Z52" s="669"/>
      <c r="AA52" s="669"/>
      <c r="AB52" s="669"/>
      <c r="AC52" s="669"/>
      <c r="AD52" s="669"/>
      <c r="AE52" s="669"/>
      <c r="AF52" s="669"/>
      <c r="AG52" s="669"/>
      <c r="AH52" s="669"/>
      <c r="AI52" s="669"/>
      <c r="AJ52" s="669"/>
      <c r="AK52" s="669"/>
      <c r="AL52" s="669"/>
      <c r="AM52" s="669"/>
      <c r="AN52" s="669"/>
      <c r="AO52" s="669"/>
      <c r="AP52" s="669"/>
      <c r="AQ52" s="669"/>
      <c r="AR52" s="669"/>
      <c r="AS52" s="669"/>
      <c r="AT52" s="669"/>
      <c r="AU52" s="669"/>
      <c r="AV52" s="669"/>
      <c r="AW52" s="669"/>
      <c r="AX52" s="669"/>
      <c r="AY52" s="669"/>
      <c r="AZ52" s="669"/>
      <c r="BA52" s="669"/>
      <c r="BB52" s="669"/>
      <c r="BC52" s="669"/>
      <c r="BD52" s="669"/>
      <c r="BE52" s="669"/>
      <c r="BF52" s="669"/>
      <c r="BG52" s="669"/>
      <c r="BH52" s="669"/>
      <c r="BI52" s="669"/>
      <c r="BJ52" s="669"/>
      <c r="BK52" s="669"/>
      <c r="BL52" s="669"/>
      <c r="BM52" s="669"/>
      <c r="BN52" s="669"/>
      <c r="BO52" s="669"/>
      <c r="BP52" s="669"/>
      <c r="BQ52" s="669"/>
      <c r="BR52" s="669"/>
      <c r="BS52" s="669"/>
      <c r="BT52" s="669"/>
      <c r="BU52" s="669"/>
      <c r="BV52" s="669"/>
      <c r="BW52" s="669"/>
      <c r="BX52" s="669"/>
      <c r="BY52" s="669"/>
      <c r="BZ52" s="669"/>
      <c r="CA52" s="669"/>
      <c r="CB52" s="669"/>
      <c r="CC52" s="217"/>
      <c r="CD52" s="220"/>
      <c r="CE52" s="220"/>
      <c r="CF52" s="221"/>
    </row>
    <row r="53" spans="1:84" s="116" customFormat="1" ht="9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222"/>
      <c r="CD53" s="218"/>
      <c r="CE53" s="218"/>
      <c r="CF53" s="219"/>
    </row>
    <row r="54" spans="1:84" ht="12.75">
      <c r="A54" s="364" t="s">
        <v>5</v>
      </c>
      <c r="B54" s="365"/>
      <c r="C54" s="365"/>
      <c r="D54" s="368"/>
      <c r="E54" s="364" t="s">
        <v>13</v>
      </c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8"/>
      <c r="AS54" s="364" t="s">
        <v>18</v>
      </c>
      <c r="AT54" s="365"/>
      <c r="AU54" s="365"/>
      <c r="AV54" s="365"/>
      <c r="AW54" s="365"/>
      <c r="AX54" s="365"/>
      <c r="AY54" s="365"/>
      <c r="AZ54" s="365"/>
      <c r="BA54" s="365"/>
      <c r="BB54" s="368"/>
      <c r="BC54" s="364" t="s">
        <v>106</v>
      </c>
      <c r="BD54" s="365"/>
      <c r="BE54" s="365"/>
      <c r="BF54" s="365"/>
      <c r="BG54" s="365"/>
      <c r="BH54" s="365"/>
      <c r="BI54" s="365"/>
      <c r="BJ54" s="365"/>
      <c r="BK54" s="365"/>
      <c r="BL54" s="365"/>
      <c r="BM54" s="368"/>
      <c r="BN54" s="364" t="s">
        <v>22</v>
      </c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207"/>
      <c r="CD54" s="216"/>
      <c r="CE54" s="216"/>
      <c r="CF54" s="214"/>
    </row>
    <row r="55" spans="1:84" ht="12.75">
      <c r="A55" s="366" t="s">
        <v>6</v>
      </c>
      <c r="B55" s="367"/>
      <c r="C55" s="367"/>
      <c r="D55" s="369"/>
      <c r="E55" s="366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9"/>
      <c r="AS55" s="366"/>
      <c r="AT55" s="367"/>
      <c r="AU55" s="367"/>
      <c r="AV55" s="367"/>
      <c r="AW55" s="367"/>
      <c r="AX55" s="367"/>
      <c r="AY55" s="367"/>
      <c r="AZ55" s="367"/>
      <c r="BA55" s="367"/>
      <c r="BB55" s="369"/>
      <c r="BC55" s="366" t="s">
        <v>107</v>
      </c>
      <c r="BD55" s="367"/>
      <c r="BE55" s="367"/>
      <c r="BF55" s="367"/>
      <c r="BG55" s="367"/>
      <c r="BH55" s="367"/>
      <c r="BI55" s="367"/>
      <c r="BJ55" s="367"/>
      <c r="BK55" s="367"/>
      <c r="BL55" s="367"/>
      <c r="BM55" s="369"/>
      <c r="BN55" s="366" t="s">
        <v>117</v>
      </c>
      <c r="BO55" s="367"/>
      <c r="BP55" s="367"/>
      <c r="BQ55" s="367"/>
      <c r="BR55" s="367"/>
      <c r="BS55" s="367"/>
      <c r="BT55" s="367"/>
      <c r="BU55" s="367"/>
      <c r="BV55" s="367"/>
      <c r="BW55" s="367"/>
      <c r="BX55" s="367"/>
      <c r="BY55" s="367"/>
      <c r="BZ55" s="367"/>
      <c r="CA55" s="367"/>
      <c r="CB55" s="367"/>
      <c r="CC55" s="207"/>
      <c r="CD55" s="216"/>
      <c r="CE55" s="216"/>
      <c r="CF55" s="214"/>
    </row>
    <row r="56" spans="1:84" ht="12.75">
      <c r="A56" s="366"/>
      <c r="B56" s="367"/>
      <c r="C56" s="367"/>
      <c r="D56" s="369"/>
      <c r="E56" s="366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369"/>
      <c r="AS56" s="366"/>
      <c r="AT56" s="367"/>
      <c r="AU56" s="367"/>
      <c r="AV56" s="367"/>
      <c r="AW56" s="367"/>
      <c r="AX56" s="367"/>
      <c r="AY56" s="367"/>
      <c r="AZ56" s="367"/>
      <c r="BA56" s="367"/>
      <c r="BB56" s="369"/>
      <c r="BC56" s="366" t="s">
        <v>17</v>
      </c>
      <c r="BD56" s="367"/>
      <c r="BE56" s="367"/>
      <c r="BF56" s="367"/>
      <c r="BG56" s="367"/>
      <c r="BH56" s="367"/>
      <c r="BI56" s="367"/>
      <c r="BJ56" s="367"/>
      <c r="BK56" s="367"/>
      <c r="BL56" s="367"/>
      <c r="BM56" s="369"/>
      <c r="BN56" s="366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7"/>
      <c r="CB56" s="367"/>
      <c r="CC56" s="207"/>
      <c r="CD56" s="216"/>
      <c r="CE56" s="216"/>
      <c r="CF56" s="214"/>
    </row>
    <row r="57" spans="1:84" ht="15.75">
      <c r="A57" s="396"/>
      <c r="B57" s="397"/>
      <c r="C57" s="397"/>
      <c r="D57" s="398"/>
      <c r="E57" s="396">
        <v>1</v>
      </c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8"/>
      <c r="AS57" s="396">
        <v>2</v>
      </c>
      <c r="AT57" s="397"/>
      <c r="AU57" s="397"/>
      <c r="AV57" s="397"/>
      <c r="AW57" s="397"/>
      <c r="AX57" s="397"/>
      <c r="AY57" s="397"/>
      <c r="AZ57" s="397"/>
      <c r="BA57" s="397"/>
      <c r="BB57" s="398"/>
      <c r="BC57" s="396">
        <v>3</v>
      </c>
      <c r="BD57" s="397"/>
      <c r="BE57" s="397"/>
      <c r="BF57" s="397"/>
      <c r="BG57" s="397"/>
      <c r="BH57" s="397"/>
      <c r="BI57" s="397"/>
      <c r="BJ57" s="397"/>
      <c r="BK57" s="397"/>
      <c r="BL57" s="397"/>
      <c r="BM57" s="398"/>
      <c r="BN57" s="396">
        <v>4</v>
      </c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8"/>
      <c r="CC57" s="112" t="s">
        <v>153</v>
      </c>
      <c r="CD57" s="113" t="s">
        <v>211</v>
      </c>
      <c r="CE57" s="113" t="s">
        <v>411</v>
      </c>
      <c r="CF57" s="225" t="s">
        <v>412</v>
      </c>
    </row>
    <row r="58" spans="1:84" s="164" customFormat="1" ht="12.75">
      <c r="A58" s="666">
        <v>1</v>
      </c>
      <c r="B58" s="667"/>
      <c r="C58" s="667"/>
      <c r="D58" s="668"/>
      <c r="E58" s="649" t="s">
        <v>362</v>
      </c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1"/>
      <c r="AS58" s="626"/>
      <c r="AT58" s="627"/>
      <c r="AU58" s="627"/>
      <c r="AV58" s="627"/>
      <c r="AW58" s="627"/>
      <c r="AX58" s="627"/>
      <c r="AY58" s="627"/>
      <c r="AZ58" s="627"/>
      <c r="BA58" s="627"/>
      <c r="BB58" s="628"/>
      <c r="BC58" s="629"/>
      <c r="BD58" s="630"/>
      <c r="BE58" s="630"/>
      <c r="BF58" s="630"/>
      <c r="BG58" s="630"/>
      <c r="BH58" s="630"/>
      <c r="BI58" s="630"/>
      <c r="BJ58" s="630"/>
      <c r="BK58" s="630"/>
      <c r="BL58" s="630"/>
      <c r="BM58" s="631"/>
      <c r="BN58" s="617">
        <v>164</v>
      </c>
      <c r="BO58" s="618"/>
      <c r="BP58" s="618"/>
      <c r="BQ58" s="618"/>
      <c r="BR58" s="618"/>
      <c r="BS58" s="618"/>
      <c r="BT58" s="618"/>
      <c r="BU58" s="618"/>
      <c r="BV58" s="618"/>
      <c r="BW58" s="618"/>
      <c r="BX58" s="618"/>
      <c r="BY58" s="618"/>
      <c r="BZ58" s="618"/>
      <c r="CA58" s="618"/>
      <c r="CB58" s="619"/>
      <c r="CC58" s="117">
        <v>164</v>
      </c>
      <c r="CD58" s="111">
        <v>164</v>
      </c>
      <c r="CE58" s="111">
        <f>CC58-CD58</f>
        <v>0</v>
      </c>
      <c r="CF58" s="226">
        <f>BN58-CC58</f>
        <v>0</v>
      </c>
    </row>
    <row r="59" spans="1:84" s="121" customFormat="1" ht="12.75">
      <c r="A59" s="620">
        <v>2</v>
      </c>
      <c r="B59" s="621"/>
      <c r="C59" s="621"/>
      <c r="D59" s="622"/>
      <c r="E59" s="649" t="s">
        <v>362</v>
      </c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0"/>
      <c r="AL59" s="650"/>
      <c r="AM59" s="650"/>
      <c r="AN59" s="650"/>
      <c r="AO59" s="650"/>
      <c r="AP59" s="650"/>
      <c r="AQ59" s="650"/>
      <c r="AR59" s="651"/>
      <c r="AS59" s="614"/>
      <c r="AT59" s="615"/>
      <c r="AU59" s="615"/>
      <c r="AV59" s="615"/>
      <c r="AW59" s="615"/>
      <c r="AX59" s="615"/>
      <c r="AY59" s="615"/>
      <c r="AZ59" s="615"/>
      <c r="BA59" s="615"/>
      <c r="BB59" s="616"/>
      <c r="BC59" s="646"/>
      <c r="BD59" s="647"/>
      <c r="BE59" s="647"/>
      <c r="BF59" s="647"/>
      <c r="BG59" s="647"/>
      <c r="BH59" s="647"/>
      <c r="BI59" s="647"/>
      <c r="BJ59" s="647"/>
      <c r="BK59" s="647"/>
      <c r="BL59" s="647"/>
      <c r="BM59" s="648"/>
      <c r="BN59" s="617">
        <v>2414</v>
      </c>
      <c r="BO59" s="618"/>
      <c r="BP59" s="618"/>
      <c r="BQ59" s="618"/>
      <c r="BR59" s="618"/>
      <c r="BS59" s="618"/>
      <c r="BT59" s="618"/>
      <c r="BU59" s="618"/>
      <c r="BV59" s="618"/>
      <c r="BW59" s="618"/>
      <c r="BX59" s="618"/>
      <c r="BY59" s="618"/>
      <c r="BZ59" s="618"/>
      <c r="CA59" s="618"/>
      <c r="CB59" s="619"/>
      <c r="CC59" s="117">
        <f>2340+74</f>
        <v>2414</v>
      </c>
      <c r="CD59" s="117">
        <f>2340+74</f>
        <v>2414</v>
      </c>
      <c r="CE59" s="111">
        <f>CC59-CD59</f>
        <v>0</v>
      </c>
      <c r="CF59" s="184">
        <f>BN59-CC59</f>
        <v>0</v>
      </c>
    </row>
    <row r="60" spans="1:84" s="121" customFormat="1" ht="12.75">
      <c r="A60" s="620">
        <v>3</v>
      </c>
      <c r="B60" s="621"/>
      <c r="C60" s="621"/>
      <c r="D60" s="622"/>
      <c r="E60" s="663" t="s">
        <v>414</v>
      </c>
      <c r="F60" s="664"/>
      <c r="G60" s="664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4"/>
      <c r="Y60" s="664"/>
      <c r="Z60" s="664"/>
      <c r="AA60" s="664"/>
      <c r="AB60" s="664"/>
      <c r="AC60" s="664"/>
      <c r="AD60" s="664"/>
      <c r="AE60" s="664"/>
      <c r="AF60" s="664"/>
      <c r="AG60" s="664"/>
      <c r="AH60" s="664"/>
      <c r="AI60" s="664"/>
      <c r="AJ60" s="664"/>
      <c r="AK60" s="664"/>
      <c r="AL60" s="664"/>
      <c r="AM60" s="664"/>
      <c r="AN60" s="664"/>
      <c r="AO60" s="664"/>
      <c r="AP60" s="664"/>
      <c r="AQ60" s="664"/>
      <c r="AR60" s="665"/>
      <c r="AS60" s="614"/>
      <c r="AT60" s="615"/>
      <c r="AU60" s="615"/>
      <c r="AV60" s="615"/>
      <c r="AW60" s="615"/>
      <c r="AX60" s="615"/>
      <c r="AY60" s="615"/>
      <c r="AZ60" s="615"/>
      <c r="BA60" s="615"/>
      <c r="BB60" s="616"/>
      <c r="BC60" s="646"/>
      <c r="BD60" s="647"/>
      <c r="BE60" s="647"/>
      <c r="BF60" s="647"/>
      <c r="BG60" s="647"/>
      <c r="BH60" s="647"/>
      <c r="BI60" s="647"/>
      <c r="BJ60" s="647"/>
      <c r="BK60" s="647"/>
      <c r="BL60" s="647"/>
      <c r="BM60" s="648"/>
      <c r="BN60" s="632">
        <v>3950</v>
      </c>
      <c r="BO60" s="633"/>
      <c r="BP60" s="633"/>
      <c r="BQ60" s="633"/>
      <c r="BR60" s="633"/>
      <c r="BS60" s="633"/>
      <c r="BT60" s="633"/>
      <c r="BU60" s="633"/>
      <c r="BV60" s="633"/>
      <c r="BW60" s="633"/>
      <c r="BX60" s="633"/>
      <c r="BY60" s="633"/>
      <c r="BZ60" s="633"/>
      <c r="CA60" s="633"/>
      <c r="CB60" s="633"/>
      <c r="CC60" s="117">
        <v>3950</v>
      </c>
      <c r="CD60" s="117">
        <v>3950</v>
      </c>
      <c r="CE60" s="111">
        <f>CC60-CD60</f>
        <v>0</v>
      </c>
      <c r="CF60" s="184">
        <f>BN60-CC60</f>
        <v>0</v>
      </c>
    </row>
    <row r="61" spans="1:84" s="159" customFormat="1" ht="13.5" thickBot="1">
      <c r="A61" s="652"/>
      <c r="B61" s="653"/>
      <c r="C61" s="653"/>
      <c r="D61" s="654"/>
      <c r="E61" s="652" t="s">
        <v>10</v>
      </c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3"/>
      <c r="AL61" s="653"/>
      <c r="AM61" s="653"/>
      <c r="AN61" s="653"/>
      <c r="AO61" s="653"/>
      <c r="AP61" s="653"/>
      <c r="AQ61" s="653"/>
      <c r="AR61" s="654"/>
      <c r="AS61" s="655">
        <v>0</v>
      </c>
      <c r="AT61" s="656"/>
      <c r="AU61" s="656"/>
      <c r="AV61" s="656"/>
      <c r="AW61" s="656"/>
      <c r="AX61" s="656"/>
      <c r="AY61" s="656"/>
      <c r="AZ61" s="656"/>
      <c r="BA61" s="656"/>
      <c r="BB61" s="657"/>
      <c r="BC61" s="658">
        <v>0</v>
      </c>
      <c r="BD61" s="659"/>
      <c r="BE61" s="659"/>
      <c r="BF61" s="659"/>
      <c r="BG61" s="659"/>
      <c r="BH61" s="659"/>
      <c r="BI61" s="659"/>
      <c r="BJ61" s="659"/>
      <c r="BK61" s="659"/>
      <c r="BL61" s="659"/>
      <c r="BM61" s="660"/>
      <c r="BN61" s="661">
        <f>SUM(BN58:CB60)</f>
        <v>6528</v>
      </c>
      <c r="BO61" s="662"/>
      <c r="BP61" s="662"/>
      <c r="BQ61" s="662"/>
      <c r="BR61" s="662"/>
      <c r="BS61" s="662"/>
      <c r="BT61" s="662"/>
      <c r="BU61" s="662"/>
      <c r="BV61" s="662"/>
      <c r="BW61" s="662"/>
      <c r="BX61" s="662"/>
      <c r="BY61" s="662"/>
      <c r="BZ61" s="662"/>
      <c r="CA61" s="662"/>
      <c r="CB61" s="662"/>
      <c r="CC61" s="211"/>
      <c r="CD61" s="211"/>
      <c r="CE61" s="211"/>
      <c r="CF61" s="188"/>
    </row>
    <row r="62" spans="1:84" ht="18" customHeight="1">
      <c r="A62" s="734"/>
      <c r="B62" s="735"/>
      <c r="C62" s="735"/>
      <c r="D62" s="736"/>
      <c r="E62" s="737" t="s">
        <v>146</v>
      </c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738"/>
      <c r="Y62" s="738"/>
      <c r="Z62" s="738"/>
      <c r="AA62" s="738"/>
      <c r="AB62" s="738"/>
      <c r="AC62" s="738"/>
      <c r="AD62" s="738"/>
      <c r="AE62" s="738"/>
      <c r="AF62" s="738"/>
      <c r="AG62" s="738"/>
      <c r="AH62" s="738"/>
      <c r="AI62" s="738"/>
      <c r="AJ62" s="738"/>
      <c r="AK62" s="738"/>
      <c r="AL62" s="738"/>
      <c r="AM62" s="738"/>
      <c r="AN62" s="738"/>
      <c r="AO62" s="738"/>
      <c r="AP62" s="738"/>
      <c r="AQ62" s="738"/>
      <c r="AR62" s="739"/>
      <c r="AS62" s="731"/>
      <c r="AT62" s="732"/>
      <c r="AU62" s="732"/>
      <c r="AV62" s="732"/>
      <c r="AW62" s="732"/>
      <c r="AX62" s="732"/>
      <c r="AY62" s="732"/>
      <c r="AZ62" s="732"/>
      <c r="BA62" s="732"/>
      <c r="BB62" s="733"/>
      <c r="BC62" s="731"/>
      <c r="BD62" s="732"/>
      <c r="BE62" s="732"/>
      <c r="BF62" s="732"/>
      <c r="BG62" s="732"/>
      <c r="BH62" s="732"/>
      <c r="BI62" s="732"/>
      <c r="BJ62" s="732"/>
      <c r="BK62" s="732"/>
      <c r="BL62" s="732"/>
      <c r="BM62" s="733"/>
      <c r="BN62" s="740">
        <f>Лист1!EO37+Лист2!BP13+Лист2!BQ59+Лист3!BJ29+Лист3!BJ44+Лист4!BP15+Лист4!BP37+Лист4!BN72+Лист4!BN100+Лист4!BN110+Лист5!BN13+Лист5!BN25+Лист5!BN36+Лист5!BN50+Лист5!BN61</f>
        <v>19612149.150000002</v>
      </c>
      <c r="BO62" s="741"/>
      <c r="BP62" s="741"/>
      <c r="BQ62" s="741"/>
      <c r="BR62" s="741"/>
      <c r="BS62" s="741"/>
      <c r="BT62" s="741"/>
      <c r="BU62" s="741"/>
      <c r="BV62" s="741"/>
      <c r="BW62" s="741"/>
      <c r="BX62" s="741"/>
      <c r="BY62" s="741"/>
      <c r="BZ62" s="741"/>
      <c r="CA62" s="741"/>
      <c r="CB62" s="741"/>
      <c r="CC62" s="207">
        <v>19612149.150000002</v>
      </c>
      <c r="CD62" s="212">
        <f>CC62-BN62</f>
        <v>0</v>
      </c>
      <c r="CE62" s="213"/>
      <c r="CF62" s="214"/>
    </row>
    <row r="63" spans="1:84" ht="18" customHeight="1">
      <c r="A63" s="727"/>
      <c r="B63" s="725"/>
      <c r="C63" s="725"/>
      <c r="D63" s="726"/>
      <c r="E63" s="724" t="s">
        <v>147</v>
      </c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5"/>
      <c r="AQ63" s="725"/>
      <c r="AR63" s="726"/>
      <c r="AS63" s="721"/>
      <c r="AT63" s="722"/>
      <c r="AU63" s="722"/>
      <c r="AV63" s="722"/>
      <c r="AW63" s="722"/>
      <c r="AX63" s="722"/>
      <c r="AY63" s="722"/>
      <c r="AZ63" s="722"/>
      <c r="BA63" s="722"/>
      <c r="BB63" s="723"/>
      <c r="BC63" s="721"/>
      <c r="BD63" s="722"/>
      <c r="BE63" s="722"/>
      <c r="BF63" s="722"/>
      <c r="BG63" s="722"/>
      <c r="BH63" s="722"/>
      <c r="BI63" s="722"/>
      <c r="BJ63" s="722"/>
      <c r="BK63" s="722"/>
      <c r="BL63" s="722"/>
      <c r="BM63" s="723"/>
      <c r="BN63" s="611">
        <f>Лист1!EO37+Лист2!BQ59+Лист5!BN7+BN8+BN60+BO49</f>
        <v>15512710.17</v>
      </c>
      <c r="BO63" s="612"/>
      <c r="BP63" s="612"/>
      <c r="BQ63" s="612"/>
      <c r="BR63" s="612"/>
      <c r="BS63" s="612"/>
      <c r="BT63" s="612"/>
      <c r="BU63" s="612"/>
      <c r="BV63" s="612"/>
      <c r="BW63" s="612"/>
      <c r="BX63" s="612"/>
      <c r="BY63" s="612"/>
      <c r="BZ63" s="612"/>
      <c r="CA63" s="612"/>
      <c r="CB63" s="612"/>
      <c r="CC63" s="207"/>
      <c r="CD63" s="215"/>
      <c r="CE63" s="213"/>
      <c r="CF63" s="214"/>
    </row>
    <row r="64" spans="1:84" ht="18" customHeight="1">
      <c r="A64" s="613"/>
      <c r="B64" s="397"/>
      <c r="C64" s="397"/>
      <c r="D64" s="398"/>
      <c r="E64" s="724" t="s">
        <v>409</v>
      </c>
      <c r="F64" s="725"/>
      <c r="G64" s="725"/>
      <c r="H64" s="725"/>
      <c r="I64" s="725"/>
      <c r="J64" s="725"/>
      <c r="K64" s="725"/>
      <c r="L64" s="725"/>
      <c r="M64" s="725"/>
      <c r="N64" s="725"/>
      <c r="O64" s="725"/>
      <c r="P64" s="725"/>
      <c r="Q64" s="725"/>
      <c r="R64" s="725"/>
      <c r="S64" s="725"/>
      <c r="T64" s="725"/>
      <c r="U64" s="725"/>
      <c r="V64" s="725"/>
      <c r="W64" s="725"/>
      <c r="X64" s="725"/>
      <c r="Y64" s="725"/>
      <c r="Z64" s="725"/>
      <c r="AA64" s="725"/>
      <c r="AB64" s="725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6"/>
      <c r="AS64" s="396"/>
      <c r="AT64" s="397"/>
      <c r="AU64" s="397"/>
      <c r="AV64" s="397"/>
      <c r="AW64" s="397"/>
      <c r="AX64" s="397"/>
      <c r="AY64" s="397"/>
      <c r="AZ64" s="397"/>
      <c r="BA64" s="397"/>
      <c r="BB64" s="398"/>
      <c r="BC64" s="396"/>
      <c r="BD64" s="397"/>
      <c r="BE64" s="397"/>
      <c r="BF64" s="397"/>
      <c r="BG64" s="397"/>
      <c r="BH64" s="397"/>
      <c r="BI64" s="397"/>
      <c r="BJ64" s="397"/>
      <c r="BK64" s="397"/>
      <c r="BL64" s="397"/>
      <c r="BM64" s="398"/>
      <c r="BN64" s="611">
        <f>Лист2!BP13+Лист3!BJ29+Лист3!BJ44+Лист4!BP15+Лист4!BP37+Лист4!BN72+Лист4!BN100+Лист4!BN110+Лист5!BN9+Лист5!BN11+Лист5!BN25+Лист5!BN50+Лист5!BN58+BN59+BN10-BN48+BN12</f>
        <v>4099438.9799999995</v>
      </c>
      <c r="BO64" s="612"/>
      <c r="BP64" s="612"/>
      <c r="BQ64" s="612"/>
      <c r="BR64" s="612"/>
      <c r="BS64" s="612"/>
      <c r="BT64" s="612"/>
      <c r="BU64" s="612"/>
      <c r="BV64" s="612"/>
      <c r="BW64" s="612"/>
      <c r="BX64" s="612"/>
      <c r="BY64" s="612"/>
      <c r="BZ64" s="612"/>
      <c r="CA64" s="612"/>
      <c r="CB64" s="612"/>
      <c r="CC64" s="207">
        <v>4099438.9800000004</v>
      </c>
      <c r="CD64" s="215">
        <f>CC64-BN64</f>
        <v>0</v>
      </c>
      <c r="CE64" s="213"/>
      <c r="CF64" s="214"/>
    </row>
    <row r="65" spans="1:84" ht="18" customHeight="1">
      <c r="A65" s="712"/>
      <c r="B65" s="713"/>
      <c r="C65" s="713"/>
      <c r="D65" s="714"/>
      <c r="E65" s="715" t="s">
        <v>148</v>
      </c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6"/>
      <c r="Z65" s="716"/>
      <c r="AA65" s="716"/>
      <c r="AB65" s="716"/>
      <c r="AC65" s="716"/>
      <c r="AD65" s="716"/>
      <c r="AE65" s="716"/>
      <c r="AF65" s="716"/>
      <c r="AG65" s="716"/>
      <c r="AH65" s="716"/>
      <c r="AI65" s="716"/>
      <c r="AJ65" s="716"/>
      <c r="AK65" s="716"/>
      <c r="AL65" s="716"/>
      <c r="AM65" s="716"/>
      <c r="AN65" s="716"/>
      <c r="AO65" s="716"/>
      <c r="AP65" s="716"/>
      <c r="AQ65" s="716"/>
      <c r="AR65" s="717"/>
      <c r="AS65" s="718"/>
      <c r="AT65" s="719"/>
      <c r="AU65" s="719"/>
      <c r="AV65" s="719"/>
      <c r="AW65" s="719"/>
      <c r="AX65" s="719"/>
      <c r="AY65" s="719"/>
      <c r="AZ65" s="719"/>
      <c r="BA65" s="719"/>
      <c r="BB65" s="720"/>
      <c r="BC65" s="721"/>
      <c r="BD65" s="722"/>
      <c r="BE65" s="722"/>
      <c r="BF65" s="722"/>
      <c r="BG65" s="722"/>
      <c r="BH65" s="722"/>
      <c r="BI65" s="722"/>
      <c r="BJ65" s="722"/>
      <c r="BK65" s="722"/>
      <c r="BL65" s="722"/>
      <c r="BM65" s="723"/>
      <c r="BN65" s="708">
        <f>Лист2!BP24+Лист3!BJ79+Лист3!BN63</f>
        <v>751605</v>
      </c>
      <c r="BO65" s="709"/>
      <c r="BP65" s="709"/>
      <c r="BQ65" s="709"/>
      <c r="BR65" s="709"/>
      <c r="BS65" s="709"/>
      <c r="BT65" s="709"/>
      <c r="BU65" s="709"/>
      <c r="BV65" s="709"/>
      <c r="BW65" s="709"/>
      <c r="BX65" s="709"/>
      <c r="BY65" s="709"/>
      <c r="BZ65" s="709"/>
      <c r="CA65" s="709"/>
      <c r="CB65" s="709"/>
      <c r="CC65" s="207"/>
      <c r="CD65" s="212"/>
      <c r="CE65" s="213"/>
      <c r="CF65" s="214"/>
    </row>
    <row r="66" spans="1:84" ht="18" customHeight="1">
      <c r="A66" s="712"/>
      <c r="B66" s="713"/>
      <c r="C66" s="713"/>
      <c r="D66" s="714"/>
      <c r="E66" s="715" t="s">
        <v>333</v>
      </c>
      <c r="F66" s="716"/>
      <c r="G66" s="716"/>
      <c r="H66" s="716"/>
      <c r="I66" s="716"/>
      <c r="J66" s="716"/>
      <c r="K66" s="716"/>
      <c r="L66" s="716"/>
      <c r="M66" s="716"/>
      <c r="N66" s="716"/>
      <c r="O66" s="716"/>
      <c r="P66" s="716"/>
      <c r="Q66" s="716"/>
      <c r="R66" s="716"/>
      <c r="S66" s="716"/>
      <c r="T66" s="716"/>
      <c r="U66" s="716"/>
      <c r="V66" s="716"/>
      <c r="W66" s="716"/>
      <c r="X66" s="716"/>
      <c r="Y66" s="716"/>
      <c r="Z66" s="716"/>
      <c r="AA66" s="716"/>
      <c r="AB66" s="716"/>
      <c r="AC66" s="716"/>
      <c r="AD66" s="716"/>
      <c r="AE66" s="716"/>
      <c r="AF66" s="716"/>
      <c r="AG66" s="716"/>
      <c r="AH66" s="716"/>
      <c r="AI66" s="716"/>
      <c r="AJ66" s="716"/>
      <c r="AK66" s="716"/>
      <c r="AL66" s="716"/>
      <c r="AM66" s="716"/>
      <c r="AN66" s="716"/>
      <c r="AO66" s="716"/>
      <c r="AP66" s="716"/>
      <c r="AQ66" s="716"/>
      <c r="AR66" s="717"/>
      <c r="AS66" s="718"/>
      <c r="AT66" s="719"/>
      <c r="AU66" s="719"/>
      <c r="AV66" s="719"/>
      <c r="AW66" s="719"/>
      <c r="AX66" s="719"/>
      <c r="AY66" s="719"/>
      <c r="AZ66" s="719"/>
      <c r="BA66" s="719"/>
      <c r="BB66" s="720"/>
      <c r="BC66" s="721"/>
      <c r="BD66" s="722"/>
      <c r="BE66" s="722"/>
      <c r="BF66" s="722"/>
      <c r="BG66" s="722"/>
      <c r="BH66" s="722"/>
      <c r="BI66" s="722"/>
      <c r="BJ66" s="722"/>
      <c r="BK66" s="722"/>
      <c r="BL66" s="722"/>
      <c r="BM66" s="723"/>
      <c r="BN66" s="708"/>
      <c r="BO66" s="709"/>
      <c r="BP66" s="709"/>
      <c r="BQ66" s="709"/>
      <c r="BR66" s="709"/>
      <c r="BS66" s="709"/>
      <c r="BT66" s="709"/>
      <c r="BU66" s="709"/>
      <c r="BV66" s="709"/>
      <c r="BW66" s="709"/>
      <c r="BX66" s="709"/>
      <c r="BY66" s="709"/>
      <c r="BZ66" s="709"/>
      <c r="CA66" s="709"/>
      <c r="CB66" s="709"/>
      <c r="CC66" s="207"/>
      <c r="CD66" s="212"/>
      <c r="CE66" s="213"/>
      <c r="CF66" s="214"/>
    </row>
    <row r="67" spans="1:84" ht="18" customHeight="1">
      <c r="A67" s="712"/>
      <c r="B67" s="713"/>
      <c r="C67" s="713"/>
      <c r="D67" s="714"/>
      <c r="E67" s="715" t="s">
        <v>149</v>
      </c>
      <c r="F67" s="716"/>
      <c r="G67" s="716"/>
      <c r="H67" s="716"/>
      <c r="I67" s="716"/>
      <c r="J67" s="716"/>
      <c r="K67" s="716"/>
      <c r="L67" s="716"/>
      <c r="M67" s="716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16"/>
      <c r="AC67" s="716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16"/>
      <c r="AR67" s="717"/>
      <c r="AS67" s="718"/>
      <c r="AT67" s="719"/>
      <c r="AU67" s="719"/>
      <c r="AV67" s="719"/>
      <c r="AW67" s="719"/>
      <c r="AX67" s="719"/>
      <c r="AY67" s="719"/>
      <c r="AZ67" s="719"/>
      <c r="BA67" s="719"/>
      <c r="BB67" s="720"/>
      <c r="BC67" s="721"/>
      <c r="BD67" s="722"/>
      <c r="BE67" s="722"/>
      <c r="BF67" s="722"/>
      <c r="BG67" s="722"/>
      <c r="BH67" s="722"/>
      <c r="BI67" s="722"/>
      <c r="BJ67" s="722"/>
      <c r="BK67" s="722"/>
      <c r="BL67" s="722"/>
      <c r="BM67" s="723"/>
      <c r="BN67" s="708">
        <f>Лист3!BN111</f>
        <v>16915.620000000003</v>
      </c>
      <c r="BO67" s="709"/>
      <c r="BP67" s="709"/>
      <c r="BQ67" s="709"/>
      <c r="BR67" s="709"/>
      <c r="BS67" s="709"/>
      <c r="BT67" s="709"/>
      <c r="BU67" s="709"/>
      <c r="BV67" s="709"/>
      <c r="BW67" s="709"/>
      <c r="BX67" s="709"/>
      <c r="BY67" s="709"/>
      <c r="BZ67" s="709"/>
      <c r="CA67" s="709"/>
      <c r="CB67" s="709"/>
      <c r="CC67" s="207"/>
      <c r="CD67" s="213"/>
      <c r="CE67" s="213"/>
      <c r="CF67" s="214"/>
    </row>
    <row r="68" spans="1:84" s="121" customFormat="1" ht="18" customHeight="1" thickBot="1">
      <c r="A68" s="694"/>
      <c r="B68" s="695"/>
      <c r="C68" s="695"/>
      <c r="D68" s="696"/>
      <c r="E68" s="697" t="s">
        <v>150</v>
      </c>
      <c r="F68" s="698"/>
      <c r="G68" s="698"/>
      <c r="H68" s="698"/>
      <c r="I68" s="698"/>
      <c r="J68" s="698"/>
      <c r="K68" s="698"/>
      <c r="L68" s="698"/>
      <c r="M68" s="698"/>
      <c r="N68" s="698"/>
      <c r="O68" s="698"/>
      <c r="P68" s="698"/>
      <c r="Q68" s="698"/>
      <c r="R68" s="698"/>
      <c r="S68" s="698"/>
      <c r="T68" s="698"/>
      <c r="U68" s="698"/>
      <c r="V68" s="698"/>
      <c r="W68" s="698"/>
      <c r="X68" s="698"/>
      <c r="Y68" s="698"/>
      <c r="Z68" s="698"/>
      <c r="AA68" s="698"/>
      <c r="AB68" s="698"/>
      <c r="AC68" s="698"/>
      <c r="AD68" s="698"/>
      <c r="AE68" s="698"/>
      <c r="AF68" s="698"/>
      <c r="AG68" s="698"/>
      <c r="AH68" s="698"/>
      <c r="AI68" s="698"/>
      <c r="AJ68" s="698"/>
      <c r="AK68" s="698"/>
      <c r="AL68" s="698"/>
      <c r="AM68" s="698"/>
      <c r="AN68" s="698"/>
      <c r="AO68" s="698"/>
      <c r="AP68" s="698"/>
      <c r="AQ68" s="698"/>
      <c r="AR68" s="699"/>
      <c r="AS68" s="700"/>
      <c r="AT68" s="701"/>
      <c r="AU68" s="701"/>
      <c r="AV68" s="701"/>
      <c r="AW68" s="701"/>
      <c r="AX68" s="701"/>
      <c r="AY68" s="701"/>
      <c r="AZ68" s="701"/>
      <c r="BA68" s="701"/>
      <c r="BB68" s="702"/>
      <c r="BC68" s="703"/>
      <c r="BD68" s="704"/>
      <c r="BE68" s="704"/>
      <c r="BF68" s="704"/>
      <c r="BG68" s="704"/>
      <c r="BH68" s="704"/>
      <c r="BI68" s="704"/>
      <c r="BJ68" s="704"/>
      <c r="BK68" s="704"/>
      <c r="BL68" s="704"/>
      <c r="BM68" s="705"/>
      <c r="BN68" s="710">
        <f>BN62+BN65+BN66+BN67</f>
        <v>20380669.770000003</v>
      </c>
      <c r="BO68" s="711"/>
      <c r="BP68" s="711"/>
      <c r="BQ68" s="711"/>
      <c r="BR68" s="711"/>
      <c r="BS68" s="711"/>
      <c r="BT68" s="711"/>
      <c r="BU68" s="711"/>
      <c r="BV68" s="711"/>
      <c r="BW68" s="711"/>
      <c r="BX68" s="711"/>
      <c r="BY68" s="711"/>
      <c r="BZ68" s="711"/>
      <c r="CA68" s="711"/>
      <c r="CB68" s="711"/>
      <c r="CC68" s="207"/>
      <c r="CD68" s="212"/>
      <c r="CE68" s="212"/>
      <c r="CF68" s="209"/>
    </row>
    <row r="69" spans="2:84" ht="24.75" customHeight="1">
      <c r="B69" s="707" t="s">
        <v>334</v>
      </c>
      <c r="C69" s="707"/>
      <c r="D69" s="707"/>
      <c r="E69" s="707"/>
      <c r="F69" s="707"/>
      <c r="G69" s="707"/>
      <c r="H69" s="707"/>
      <c r="I69" s="707"/>
      <c r="J69" s="707"/>
      <c r="K69" s="707"/>
      <c r="L69" s="707"/>
      <c r="M69" s="707"/>
      <c r="N69" s="707"/>
      <c r="O69" s="707"/>
      <c r="P69" s="707"/>
      <c r="Q69" s="707"/>
      <c r="R69" s="707"/>
      <c r="S69" s="707"/>
      <c r="T69" s="707"/>
      <c r="U69" s="707"/>
      <c r="V69" s="707"/>
      <c r="W69" s="707"/>
      <c r="X69" s="707"/>
      <c r="Y69" s="707"/>
      <c r="Z69" s="707"/>
      <c r="AA69" s="707"/>
      <c r="AB69" s="707"/>
      <c r="AC69" s="707"/>
      <c r="AD69" s="707"/>
      <c r="AE69" s="707"/>
      <c r="BE69" s="693" t="s">
        <v>335</v>
      </c>
      <c r="BF69" s="693"/>
      <c r="BG69" s="693"/>
      <c r="BH69" s="693"/>
      <c r="BI69" s="693"/>
      <c r="BJ69" s="693"/>
      <c r="BK69" s="693"/>
      <c r="BL69" s="693"/>
      <c r="BM69" s="693"/>
      <c r="BN69" s="693"/>
      <c r="BO69" s="693"/>
      <c r="BP69" s="693"/>
      <c r="BQ69" s="693"/>
      <c r="BR69" s="693"/>
      <c r="BS69" s="693"/>
      <c r="BT69" s="693"/>
      <c r="BU69" s="693"/>
      <c r="BV69" s="693"/>
      <c r="BW69" s="693"/>
      <c r="BX69" s="693"/>
      <c r="BY69" s="693"/>
      <c r="BZ69" s="693"/>
      <c r="CC69" s="207"/>
      <c r="CD69" s="216"/>
      <c r="CE69" s="216"/>
      <c r="CF69" s="214"/>
    </row>
    <row r="70" spans="61:84" ht="15.75">
      <c r="BI70" s="706">
        <v>44078</v>
      </c>
      <c r="BJ70" s="693"/>
      <c r="BK70" s="693"/>
      <c r="BL70" s="693"/>
      <c r="BM70" s="693"/>
      <c r="BN70" s="693"/>
      <c r="BO70" s="693"/>
      <c r="BP70" s="693"/>
      <c r="BQ70" s="693"/>
      <c r="BR70" s="693"/>
      <c r="BS70" s="693"/>
      <c r="BT70" s="693"/>
      <c r="BU70" s="693"/>
      <c r="BV70" s="693"/>
      <c r="BW70" s="693"/>
      <c r="CC70" s="217"/>
      <c r="CD70" s="216"/>
      <c r="CE70" s="216"/>
      <c r="CF70" s="214"/>
    </row>
    <row r="71" spans="81:84" ht="15.75">
      <c r="CC71" s="217"/>
      <c r="CD71" s="216"/>
      <c r="CE71" s="216"/>
      <c r="CF71" s="214"/>
    </row>
    <row r="72" spans="81:84" ht="15.75">
      <c r="CC72" s="217"/>
      <c r="CD72" s="216"/>
      <c r="CE72" s="216"/>
      <c r="CF72" s="214"/>
    </row>
    <row r="73" spans="59:84" ht="12.75">
      <c r="BG73" s="693"/>
      <c r="BH73" s="693"/>
      <c r="BI73" s="693"/>
      <c r="BJ73" s="693"/>
      <c r="BK73" s="693"/>
      <c r="BL73" s="693"/>
      <c r="BM73" s="693"/>
      <c r="BN73" s="693"/>
      <c r="BO73" s="693"/>
      <c r="BP73" s="693"/>
      <c r="BQ73" s="693"/>
      <c r="CC73" s="207"/>
      <c r="CD73" s="216"/>
      <c r="CE73" s="216"/>
      <c r="CF73" s="214"/>
    </row>
    <row r="74" spans="60:84" ht="12.75">
      <c r="BH74" s="693"/>
      <c r="BI74" s="693"/>
      <c r="BJ74" s="693"/>
      <c r="BK74" s="693"/>
      <c r="BL74" s="693"/>
      <c r="BM74" s="693"/>
      <c r="BN74" s="693"/>
      <c r="BO74" s="693"/>
      <c r="BP74" s="693"/>
      <c r="BQ74" s="693"/>
      <c r="BR74" s="693"/>
      <c r="CC74" s="207"/>
      <c r="CD74" s="216"/>
      <c r="CE74" s="216"/>
      <c r="CF74" s="214"/>
    </row>
    <row r="75" spans="81:84" ht="12.75">
      <c r="CC75" s="207"/>
      <c r="CD75" s="216"/>
      <c r="CE75" s="216"/>
      <c r="CF75" s="214"/>
    </row>
    <row r="76" spans="81:84" ht="12.75">
      <c r="CC76" s="207"/>
      <c r="CD76" s="216"/>
      <c r="CE76" s="216"/>
      <c r="CF76" s="214"/>
    </row>
    <row r="77" spans="81:84" ht="12.75">
      <c r="CC77" s="207"/>
      <c r="CD77" s="216"/>
      <c r="CE77" s="216"/>
      <c r="CF77" s="214"/>
    </row>
    <row r="78" spans="81:84" ht="12.75">
      <c r="CC78" s="207"/>
      <c r="CD78" s="216"/>
      <c r="CE78" s="216"/>
      <c r="CF78" s="214"/>
    </row>
    <row r="79" spans="81:84" ht="12.75">
      <c r="CC79" s="207"/>
      <c r="CD79" s="216"/>
      <c r="CE79" s="216"/>
      <c r="CF79" s="214"/>
    </row>
    <row r="80" spans="81:84" ht="12.75">
      <c r="CC80" s="207"/>
      <c r="CD80" s="216"/>
      <c r="CE80" s="216"/>
      <c r="CF80" s="214"/>
    </row>
    <row r="81" spans="81:84" ht="12.75">
      <c r="CC81" s="207"/>
      <c r="CD81" s="216"/>
      <c r="CE81" s="216"/>
      <c r="CF81" s="214"/>
    </row>
    <row r="82" spans="81:84" ht="12.75">
      <c r="CC82" s="207"/>
      <c r="CD82" s="216"/>
      <c r="CE82" s="216"/>
      <c r="CF82" s="214"/>
    </row>
    <row r="83" spans="81:84" ht="12.75">
      <c r="CC83" s="207"/>
      <c r="CD83" s="216"/>
      <c r="CE83" s="216"/>
      <c r="CF83" s="214"/>
    </row>
    <row r="84" spans="81:84" ht="12.75">
      <c r="CC84" s="207"/>
      <c r="CD84" s="216"/>
      <c r="CE84" s="216"/>
      <c r="CF84" s="214"/>
    </row>
    <row r="85" spans="81:84" ht="12.75">
      <c r="CC85" s="207"/>
      <c r="CD85" s="216"/>
      <c r="CE85" s="216"/>
      <c r="CF85" s="214"/>
    </row>
    <row r="86" spans="81:84" ht="12.75">
      <c r="CC86" s="207"/>
      <c r="CD86" s="216"/>
      <c r="CE86" s="216"/>
      <c r="CF86" s="214"/>
    </row>
    <row r="87" spans="81:84" ht="12.75">
      <c r="CC87" s="207"/>
      <c r="CD87" s="216"/>
      <c r="CE87" s="216"/>
      <c r="CF87" s="214"/>
    </row>
    <row r="88" spans="81:84" ht="12.75">
      <c r="CC88" s="207"/>
      <c r="CD88" s="216"/>
      <c r="CE88" s="216"/>
      <c r="CF88" s="214"/>
    </row>
    <row r="89" spans="81:84" ht="12.75">
      <c r="CC89" s="207"/>
      <c r="CD89" s="216"/>
      <c r="CE89" s="216"/>
      <c r="CF89" s="214"/>
    </row>
    <row r="90" spans="81:84" ht="12.75">
      <c r="CC90" s="207"/>
      <c r="CD90" s="216"/>
      <c r="CE90" s="216"/>
      <c r="CF90" s="214"/>
    </row>
    <row r="91" spans="81:84" ht="12.75">
      <c r="CC91" s="207"/>
      <c r="CD91" s="216"/>
      <c r="CE91" s="216"/>
      <c r="CF91" s="214"/>
    </row>
    <row r="92" spans="81:84" ht="12.75">
      <c r="CC92" s="207"/>
      <c r="CD92" s="216"/>
      <c r="CE92" s="216"/>
      <c r="CF92" s="214"/>
    </row>
    <row r="93" spans="81:84" ht="12.75">
      <c r="CC93" s="207"/>
      <c r="CD93" s="216"/>
      <c r="CE93" s="216"/>
      <c r="CF93" s="214"/>
    </row>
    <row r="94" spans="81:84" ht="12.75">
      <c r="CC94" s="207"/>
      <c r="CD94" s="216"/>
      <c r="CE94" s="216"/>
      <c r="CF94" s="214"/>
    </row>
    <row r="95" spans="81:84" ht="12.75">
      <c r="CC95" s="207"/>
      <c r="CD95" s="216"/>
      <c r="CE95" s="216"/>
      <c r="CF95" s="214"/>
    </row>
    <row r="96" spans="81:84" ht="12.75">
      <c r="CC96" s="207"/>
      <c r="CD96" s="216"/>
      <c r="CE96" s="216"/>
      <c r="CF96" s="214"/>
    </row>
    <row r="97" spans="81:84" ht="12.75">
      <c r="CC97" s="207"/>
      <c r="CD97" s="216"/>
      <c r="CE97" s="216"/>
      <c r="CF97" s="214"/>
    </row>
    <row r="98" spans="81:84" ht="12.75">
      <c r="CC98" s="207"/>
      <c r="CD98" s="216"/>
      <c r="CE98" s="216"/>
      <c r="CF98" s="214"/>
    </row>
    <row r="99" spans="81:84" ht="12.75">
      <c r="CC99" s="207"/>
      <c r="CD99" s="216"/>
      <c r="CE99" s="216"/>
      <c r="CF99" s="214"/>
    </row>
    <row r="100" spans="81:84" ht="12.75">
      <c r="CC100" s="207"/>
      <c r="CD100" s="216"/>
      <c r="CE100" s="216"/>
      <c r="CF100" s="214"/>
    </row>
    <row r="101" spans="81:84" ht="12.75">
      <c r="CC101" s="207"/>
      <c r="CD101" s="216"/>
      <c r="CE101" s="216"/>
      <c r="CF101" s="214"/>
    </row>
    <row r="102" spans="81:84" ht="12.75">
      <c r="CC102" s="207"/>
      <c r="CD102" s="216"/>
      <c r="CE102" s="216"/>
      <c r="CF102" s="214"/>
    </row>
    <row r="103" spans="81:84" ht="12.75">
      <c r="CC103" s="207"/>
      <c r="CD103" s="216"/>
      <c r="CE103" s="216"/>
      <c r="CF103" s="214"/>
    </row>
    <row r="104" spans="81:84" ht="12.75">
      <c r="CC104" s="207"/>
      <c r="CD104" s="216"/>
      <c r="CE104" s="216"/>
      <c r="CF104" s="214"/>
    </row>
    <row r="105" spans="81:84" ht="12.75">
      <c r="CC105" s="207"/>
      <c r="CD105" s="216"/>
      <c r="CE105" s="216"/>
      <c r="CF105" s="214"/>
    </row>
    <row r="106" spans="81:84" ht="12.75">
      <c r="CC106" s="207"/>
      <c r="CD106" s="216"/>
      <c r="CE106" s="216"/>
      <c r="CF106" s="214"/>
    </row>
    <row r="107" spans="81:84" ht="12.75">
      <c r="CC107" s="207"/>
      <c r="CD107" s="216"/>
      <c r="CE107" s="216"/>
      <c r="CF107" s="214"/>
    </row>
    <row r="108" spans="81:84" ht="12.75">
      <c r="CC108" s="207"/>
      <c r="CD108" s="216"/>
      <c r="CE108" s="216"/>
      <c r="CF108" s="214"/>
    </row>
    <row r="109" spans="81:84" ht="12.75">
      <c r="CC109" s="207"/>
      <c r="CD109" s="216"/>
      <c r="CE109" s="216"/>
      <c r="CF109" s="214"/>
    </row>
    <row r="110" spans="81:84" ht="12.75">
      <c r="CC110" s="207"/>
      <c r="CD110" s="216"/>
      <c r="CE110" s="216"/>
      <c r="CF110" s="214"/>
    </row>
    <row r="111" spans="81:84" ht="12.75">
      <c r="CC111" s="207"/>
      <c r="CD111" s="216"/>
      <c r="CE111" s="216"/>
      <c r="CF111" s="214"/>
    </row>
    <row r="112" spans="81:84" ht="12.75">
      <c r="CC112" s="207"/>
      <c r="CD112" s="216"/>
      <c r="CE112" s="216"/>
      <c r="CF112" s="214"/>
    </row>
    <row r="113" spans="81:84" ht="12.75">
      <c r="CC113" s="207"/>
      <c r="CD113" s="216"/>
      <c r="CE113" s="216"/>
      <c r="CF113" s="214"/>
    </row>
    <row r="114" spans="81:84" ht="12.75">
      <c r="CC114" s="207"/>
      <c r="CD114" s="216"/>
      <c r="CE114" s="216"/>
      <c r="CF114" s="214"/>
    </row>
    <row r="115" spans="81:84" ht="12.75">
      <c r="CC115" s="207"/>
      <c r="CD115" s="216"/>
      <c r="CE115" s="216"/>
      <c r="CF115" s="214"/>
    </row>
    <row r="116" spans="81:84" ht="12.75">
      <c r="CC116" s="207"/>
      <c r="CD116" s="216"/>
      <c r="CE116" s="216"/>
      <c r="CF116" s="214"/>
    </row>
    <row r="117" spans="81:84" ht="12.75">
      <c r="CC117" s="207"/>
      <c r="CD117" s="216"/>
      <c r="CE117" s="216"/>
      <c r="CF117" s="214"/>
    </row>
    <row r="118" spans="81:84" ht="12.75">
      <c r="CC118" s="207"/>
      <c r="CD118" s="216"/>
      <c r="CE118" s="216"/>
      <c r="CF118" s="214"/>
    </row>
    <row r="119" spans="81:84" ht="12.75">
      <c r="CC119" s="207"/>
      <c r="CD119" s="216"/>
      <c r="CE119" s="216"/>
      <c r="CF119" s="214"/>
    </row>
    <row r="120" spans="81:84" ht="12.75">
      <c r="CC120" s="207"/>
      <c r="CD120" s="216"/>
      <c r="CE120" s="216"/>
      <c r="CF120" s="214"/>
    </row>
    <row r="121" spans="81:84" ht="12.75">
      <c r="CC121" s="207"/>
      <c r="CD121" s="216"/>
      <c r="CE121" s="216"/>
      <c r="CF121" s="214"/>
    </row>
    <row r="122" spans="81:84" ht="12.75">
      <c r="CC122" s="207"/>
      <c r="CD122" s="216"/>
      <c r="CE122" s="216"/>
      <c r="CF122" s="214"/>
    </row>
    <row r="123" spans="81:84" ht="12.75">
      <c r="CC123" s="207"/>
      <c r="CD123" s="216"/>
      <c r="CE123" s="216"/>
      <c r="CF123" s="214"/>
    </row>
    <row r="124" spans="81:84" ht="12.75">
      <c r="CC124" s="207"/>
      <c r="CD124" s="216"/>
      <c r="CE124" s="216"/>
      <c r="CF124" s="214"/>
    </row>
    <row r="125" spans="81:84" ht="12.75">
      <c r="CC125" s="207"/>
      <c r="CD125" s="216"/>
      <c r="CE125" s="216"/>
      <c r="CF125" s="214"/>
    </row>
    <row r="126" spans="81:84" ht="12.75">
      <c r="CC126" s="207"/>
      <c r="CD126" s="216"/>
      <c r="CE126" s="216"/>
      <c r="CF126" s="214"/>
    </row>
    <row r="127" spans="81:84" ht="12.75">
      <c r="CC127" s="207"/>
      <c r="CD127" s="216"/>
      <c r="CE127" s="216"/>
      <c r="CF127" s="214"/>
    </row>
    <row r="128" spans="81:84" ht="12.75">
      <c r="CC128" s="207"/>
      <c r="CD128" s="216"/>
      <c r="CE128" s="216"/>
      <c r="CF128" s="214"/>
    </row>
    <row r="129" spans="81:84" ht="12.75">
      <c r="CC129" s="207"/>
      <c r="CD129" s="216"/>
      <c r="CE129" s="216"/>
      <c r="CF129" s="214"/>
    </row>
    <row r="130" spans="81:84" ht="12.75">
      <c r="CC130" s="207"/>
      <c r="CD130" s="216"/>
      <c r="CE130" s="216"/>
      <c r="CF130" s="214"/>
    </row>
    <row r="131" spans="81:84" ht="12.75">
      <c r="CC131" s="207"/>
      <c r="CD131" s="216"/>
      <c r="CE131" s="216"/>
      <c r="CF131" s="214"/>
    </row>
    <row r="132" spans="81:84" ht="12.75">
      <c r="CC132" s="207"/>
      <c r="CD132" s="216"/>
      <c r="CE132" s="216"/>
      <c r="CF132" s="214"/>
    </row>
    <row r="133" spans="81:84" ht="12.75">
      <c r="CC133" s="207"/>
      <c r="CD133" s="216"/>
      <c r="CE133" s="216"/>
      <c r="CF133" s="214"/>
    </row>
    <row r="134" spans="5:84" ht="12.75"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207"/>
      <c r="CD134" s="216"/>
      <c r="CE134" s="216"/>
      <c r="CF134" s="214"/>
    </row>
    <row r="135" spans="5:84" ht="12.75"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207"/>
      <c r="CD135" s="216"/>
      <c r="CE135" s="216"/>
      <c r="CF135" s="214"/>
    </row>
    <row r="136" spans="5:84" ht="12.75"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207"/>
      <c r="CD136" s="216"/>
      <c r="CE136" s="216"/>
      <c r="CF136" s="214"/>
    </row>
    <row r="137" spans="5:84" ht="12.75"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207"/>
      <c r="CD137" s="216"/>
      <c r="CE137" s="216"/>
      <c r="CF137" s="214"/>
    </row>
    <row r="138" spans="5:83" ht="12.75"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87"/>
      <c r="CD138" s="206"/>
      <c r="CE138" s="206"/>
    </row>
    <row r="139" spans="5:80" ht="12.75"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</row>
    <row r="140" spans="5:80" ht="12.75"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</row>
    <row r="141" spans="5:80" ht="12.75"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</row>
    <row r="142" spans="5:80" ht="12.75"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</row>
    <row r="143" spans="5:80" ht="12.75"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</row>
  </sheetData>
  <sheetProtection/>
  <mergeCells count="273">
    <mergeCell ref="BN20:CB20"/>
    <mergeCell ref="E32:AR32"/>
    <mergeCell ref="AS35:BB35"/>
    <mergeCell ref="BN36:CB36"/>
    <mergeCell ref="A50:D50"/>
    <mergeCell ref="E50:AR50"/>
    <mergeCell ref="AS50:BB50"/>
    <mergeCell ref="BC50:BM50"/>
    <mergeCell ref="BN50:CB50"/>
    <mergeCell ref="E44:AR44"/>
    <mergeCell ref="BN44:BY44"/>
    <mergeCell ref="E49:AR49"/>
    <mergeCell ref="BO49:BY49"/>
    <mergeCell ref="BN41:CB41"/>
    <mergeCell ref="A40:D40"/>
    <mergeCell ref="BN40:CB40"/>
    <mergeCell ref="BC40:BM40"/>
    <mergeCell ref="A32:D32"/>
    <mergeCell ref="BN9:CB9"/>
    <mergeCell ref="BC11:BM11"/>
    <mergeCell ref="BC10:BM10"/>
    <mergeCell ref="E10:AR10"/>
    <mergeCell ref="AS10:BB10"/>
    <mergeCell ref="BN31:CB31"/>
    <mergeCell ref="BN35:CB35"/>
    <mergeCell ref="E35:AR35"/>
    <mergeCell ref="BN32:CB32"/>
    <mergeCell ref="A9:D9"/>
    <mergeCell ref="BC9:BM9"/>
    <mergeCell ref="A11:D11"/>
    <mergeCell ref="E11:AR11"/>
    <mergeCell ref="AS11:BB11"/>
    <mergeCell ref="BN10:CB10"/>
    <mergeCell ref="BN34:CB34"/>
    <mergeCell ref="BC33:BM33"/>
    <mergeCell ref="AS34:BB34"/>
    <mergeCell ref="BC34:BM34"/>
    <mergeCell ref="BN30:CB30"/>
    <mergeCell ref="A35:D35"/>
    <mergeCell ref="A31:D31"/>
    <mergeCell ref="E31:AR31"/>
    <mergeCell ref="AS31:BB31"/>
    <mergeCell ref="BC31:BM31"/>
    <mergeCell ref="A21:D21"/>
    <mergeCell ref="E21:AR21"/>
    <mergeCell ref="AS21:BB21"/>
    <mergeCell ref="AS22:BB22"/>
    <mergeCell ref="A41:D41"/>
    <mergeCell ref="BC41:BM41"/>
    <mergeCell ref="A33:D33"/>
    <mergeCell ref="E40:AR40"/>
    <mergeCell ref="BC35:BM35"/>
    <mergeCell ref="A38:CB38"/>
    <mergeCell ref="AS45:BB45"/>
    <mergeCell ref="A37:CB37"/>
    <mergeCell ref="E33:AR33"/>
    <mergeCell ref="BC23:BM23"/>
    <mergeCell ref="A25:D25"/>
    <mergeCell ref="E25:AR25"/>
    <mergeCell ref="A24:D24"/>
    <mergeCell ref="E24:AR24"/>
    <mergeCell ref="AS24:BB24"/>
    <mergeCell ref="BC29:BM29"/>
    <mergeCell ref="BN25:CB25"/>
    <mergeCell ref="BC22:BM22"/>
    <mergeCell ref="AS25:BB25"/>
    <mergeCell ref="BC25:BM25"/>
    <mergeCell ref="A27:CB27"/>
    <mergeCell ref="BC32:BM32"/>
    <mergeCell ref="A22:D22"/>
    <mergeCell ref="E23:AR23"/>
    <mergeCell ref="AS23:BB23"/>
    <mergeCell ref="A23:D23"/>
    <mergeCell ref="E62:AR62"/>
    <mergeCell ref="A29:D29"/>
    <mergeCell ref="BN29:CB29"/>
    <mergeCell ref="AS30:BB30"/>
    <mergeCell ref="AS62:BB62"/>
    <mergeCell ref="AS43:BB43"/>
    <mergeCell ref="BC30:BM30"/>
    <mergeCell ref="AS33:BB33"/>
    <mergeCell ref="A30:D30"/>
    <mergeCell ref="BN62:CB62"/>
    <mergeCell ref="BC65:BM65"/>
    <mergeCell ref="BN65:CB65"/>
    <mergeCell ref="A34:D34"/>
    <mergeCell ref="BN33:CB33"/>
    <mergeCell ref="A45:D45"/>
    <mergeCell ref="BC62:BM62"/>
    <mergeCell ref="A62:D62"/>
    <mergeCell ref="BC64:BM64"/>
    <mergeCell ref="BN63:CB63"/>
    <mergeCell ref="BC63:BM63"/>
    <mergeCell ref="AS66:BB66"/>
    <mergeCell ref="AS63:BB63"/>
    <mergeCell ref="E64:AR64"/>
    <mergeCell ref="A65:D65"/>
    <mergeCell ref="AS64:BB64"/>
    <mergeCell ref="E65:AR65"/>
    <mergeCell ref="AS65:BB65"/>
    <mergeCell ref="E63:AR63"/>
    <mergeCell ref="A63:D63"/>
    <mergeCell ref="BN67:CB67"/>
    <mergeCell ref="BN68:CB68"/>
    <mergeCell ref="BN66:CB66"/>
    <mergeCell ref="A67:D67"/>
    <mergeCell ref="E67:AR67"/>
    <mergeCell ref="AS67:BB67"/>
    <mergeCell ref="BC67:BM67"/>
    <mergeCell ref="A66:D66"/>
    <mergeCell ref="BC66:BM66"/>
    <mergeCell ref="E66:AR66"/>
    <mergeCell ref="BH74:BR74"/>
    <mergeCell ref="A68:D68"/>
    <mergeCell ref="E68:AR68"/>
    <mergeCell ref="AS68:BB68"/>
    <mergeCell ref="BC68:BM68"/>
    <mergeCell ref="BG73:BQ73"/>
    <mergeCell ref="BE69:BZ69"/>
    <mergeCell ref="BI70:BW70"/>
    <mergeCell ref="B69:AE69"/>
    <mergeCell ref="AS20:BB20"/>
    <mergeCell ref="BC20:BM20"/>
    <mergeCell ref="BC24:BM24"/>
    <mergeCell ref="A26:CB26"/>
    <mergeCell ref="A6:D6"/>
    <mergeCell ref="E6:AR6"/>
    <mergeCell ref="AS7:BB7"/>
    <mergeCell ref="E7:AR7"/>
    <mergeCell ref="A7:D7"/>
    <mergeCell ref="BN23:CB23"/>
    <mergeCell ref="AS4:BB4"/>
    <mergeCell ref="BC6:BM6"/>
    <mergeCell ref="A43:D43"/>
    <mergeCell ref="A18:D18"/>
    <mergeCell ref="A19:D19"/>
    <mergeCell ref="E19:AR19"/>
    <mergeCell ref="AS19:BB19"/>
    <mergeCell ref="A20:D20"/>
    <mergeCell ref="E29:AR29"/>
    <mergeCell ref="AS29:BB29"/>
    <mergeCell ref="BC3:BM3"/>
    <mergeCell ref="BN3:CB3"/>
    <mergeCell ref="A1:CB1"/>
    <mergeCell ref="E3:AR3"/>
    <mergeCell ref="A3:D3"/>
    <mergeCell ref="E4:AR4"/>
    <mergeCell ref="A4:D4"/>
    <mergeCell ref="BC4:BM4"/>
    <mergeCell ref="BN4:CB4"/>
    <mergeCell ref="AS3:BB3"/>
    <mergeCell ref="BC18:BM18"/>
    <mergeCell ref="BN18:CB18"/>
    <mergeCell ref="AS18:BB18"/>
    <mergeCell ref="E13:AR13"/>
    <mergeCell ref="BN13:CB13"/>
    <mergeCell ref="A5:D5"/>
    <mergeCell ref="BN5:CB5"/>
    <mergeCell ref="AS5:BB5"/>
    <mergeCell ref="BC5:BM5"/>
    <mergeCell ref="BN6:CB6"/>
    <mergeCell ref="BN7:CB7"/>
    <mergeCell ref="BN22:CB22"/>
    <mergeCell ref="E18:AR18"/>
    <mergeCell ref="BC19:BM19"/>
    <mergeCell ref="BN19:CB19"/>
    <mergeCell ref="BC13:BM13"/>
    <mergeCell ref="BC7:BM7"/>
    <mergeCell ref="E9:AR9"/>
    <mergeCell ref="AS9:BB9"/>
    <mergeCell ref="BN8:CB8"/>
    <mergeCell ref="E5:AR5"/>
    <mergeCell ref="AS6:BB6"/>
    <mergeCell ref="E22:AR22"/>
    <mergeCell ref="E30:AR30"/>
    <mergeCell ref="AS32:BB32"/>
    <mergeCell ref="BC43:BM43"/>
    <mergeCell ref="E36:AR36"/>
    <mergeCell ref="AS36:BB36"/>
    <mergeCell ref="BC36:BM36"/>
    <mergeCell ref="AS40:BB40"/>
    <mergeCell ref="A13:D13"/>
    <mergeCell ref="A47:D47"/>
    <mergeCell ref="E47:AR47"/>
    <mergeCell ref="E42:AR42"/>
    <mergeCell ref="BC42:BM42"/>
    <mergeCell ref="AS42:BB42"/>
    <mergeCell ref="E41:AR41"/>
    <mergeCell ref="AS13:BB13"/>
    <mergeCell ref="A15:CB15"/>
    <mergeCell ref="A16:CB16"/>
    <mergeCell ref="BC45:BM45"/>
    <mergeCell ref="BN45:CB45"/>
    <mergeCell ref="BN43:CB43"/>
    <mergeCell ref="E20:AR20"/>
    <mergeCell ref="BN24:CB24"/>
    <mergeCell ref="A36:D36"/>
    <mergeCell ref="BC21:BM21"/>
    <mergeCell ref="BN21:CB21"/>
    <mergeCell ref="E34:AR34"/>
    <mergeCell ref="A42:D42"/>
    <mergeCell ref="BN42:CB42"/>
    <mergeCell ref="AS41:BB41"/>
    <mergeCell ref="AS47:BB47"/>
    <mergeCell ref="BC47:BM47"/>
    <mergeCell ref="BN47:CB47"/>
    <mergeCell ref="E46:AR46"/>
    <mergeCell ref="E45:AR45"/>
    <mergeCell ref="AS46:BB46"/>
    <mergeCell ref="BC46:BM46"/>
    <mergeCell ref="E43:AR43"/>
    <mergeCell ref="BN56:CB56"/>
    <mergeCell ref="A51:CB51"/>
    <mergeCell ref="A52:CB52"/>
    <mergeCell ref="A54:D54"/>
    <mergeCell ref="E54:AR54"/>
    <mergeCell ref="AS54:BB54"/>
    <mergeCell ref="BN54:CB54"/>
    <mergeCell ref="BC54:BM54"/>
    <mergeCell ref="BN58:CB58"/>
    <mergeCell ref="A55:D55"/>
    <mergeCell ref="E55:AR55"/>
    <mergeCell ref="AS55:BB55"/>
    <mergeCell ref="BC55:BM55"/>
    <mergeCell ref="BN55:CB55"/>
    <mergeCell ref="A56:D56"/>
    <mergeCell ref="E56:AR56"/>
    <mergeCell ref="AS56:BB56"/>
    <mergeCell ref="BC56:BM56"/>
    <mergeCell ref="BN59:CB59"/>
    <mergeCell ref="A57:D57"/>
    <mergeCell ref="E57:AR57"/>
    <mergeCell ref="AS57:BB57"/>
    <mergeCell ref="BC57:BM57"/>
    <mergeCell ref="BN57:CB57"/>
    <mergeCell ref="A58:D58"/>
    <mergeCell ref="E58:AR58"/>
    <mergeCell ref="AS58:BB58"/>
    <mergeCell ref="BC58:BM58"/>
    <mergeCell ref="A61:D61"/>
    <mergeCell ref="E61:AR61"/>
    <mergeCell ref="AS61:BB61"/>
    <mergeCell ref="BC61:BM61"/>
    <mergeCell ref="BN61:CB61"/>
    <mergeCell ref="A60:D60"/>
    <mergeCell ref="E60:AR60"/>
    <mergeCell ref="A8:D8"/>
    <mergeCell ref="E8:AR8"/>
    <mergeCell ref="AS8:BB8"/>
    <mergeCell ref="BC8:BM8"/>
    <mergeCell ref="A46:D46"/>
    <mergeCell ref="BC60:BM60"/>
    <mergeCell ref="A59:D59"/>
    <mergeCell ref="E59:AR59"/>
    <mergeCell ref="AS59:BB59"/>
    <mergeCell ref="BC59:BM59"/>
    <mergeCell ref="BN64:CB64"/>
    <mergeCell ref="A64:D64"/>
    <mergeCell ref="AS60:BB60"/>
    <mergeCell ref="BN46:CB46"/>
    <mergeCell ref="A48:D48"/>
    <mergeCell ref="E48:AR48"/>
    <mergeCell ref="AS48:BB48"/>
    <mergeCell ref="BC48:BM48"/>
    <mergeCell ref="BN48:CB48"/>
    <mergeCell ref="BN60:CB60"/>
    <mergeCell ref="A12:D12"/>
    <mergeCell ref="E12:AR12"/>
    <mergeCell ref="AS12:BB12"/>
    <mergeCell ref="BC12:BM12"/>
    <mergeCell ref="BN12:BY12"/>
    <mergeCell ref="A10:D10"/>
    <mergeCell ref="BN11:CB11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0" max="79" man="1"/>
  </rowBreaks>
  <colBreaks count="1" manualBreakCount="1">
    <brk id="8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191"/>
  <sheetViews>
    <sheetView view="pageBreakPreview" zoomScaleSheetLayoutView="100" zoomScalePageLayoutView="0" workbookViewId="0" topLeftCell="A159">
      <selection activeCell="B182" sqref="B182"/>
    </sheetView>
  </sheetViews>
  <sheetFormatPr defaultColWidth="9.00390625" defaultRowHeight="12.75"/>
  <cols>
    <col min="1" max="1" width="61.625" style="65" customWidth="1"/>
    <col min="2" max="2" width="10.75390625" style="65" customWidth="1"/>
    <col min="3" max="3" width="15.125" style="125" hidden="1" customWidth="1"/>
    <col min="4" max="4" width="15.00390625" style="125" customWidth="1"/>
    <col min="5" max="6" width="15.25390625" style="125" bestFit="1" customWidth="1"/>
    <col min="7" max="7" width="13.25390625" style="65" customWidth="1"/>
    <col min="8" max="8" width="12.625" style="65" bestFit="1" customWidth="1"/>
    <col min="9" max="9" width="16.00390625" style="65" customWidth="1"/>
    <col min="10" max="16384" width="9.125" style="65" customWidth="1"/>
  </cols>
  <sheetData>
    <row r="1" spans="3:6" ht="12.75" hidden="1">
      <c r="C1" s="124"/>
      <c r="D1" s="124"/>
      <c r="E1" s="124"/>
      <c r="F1" s="124"/>
    </row>
    <row r="2" spans="1:2" ht="20.25">
      <c r="A2" s="776" t="s">
        <v>213</v>
      </c>
      <c r="B2" s="776"/>
    </row>
    <row r="3" spans="1:2" ht="19.5" customHeight="1">
      <c r="A3" s="776" t="s">
        <v>386</v>
      </c>
      <c r="B3" s="776"/>
    </row>
    <row r="4" spans="1:2" ht="20.25" hidden="1">
      <c r="A4" s="66"/>
      <c r="B4" s="66"/>
    </row>
    <row r="5" spans="1:3" ht="32.25" customHeight="1">
      <c r="A5" s="784" t="s">
        <v>214</v>
      </c>
      <c r="B5" s="784"/>
      <c r="C5" s="126"/>
    </row>
    <row r="6" spans="1:2" ht="2.25" customHeight="1" thickBot="1">
      <c r="A6" s="785" t="s">
        <v>215</v>
      </c>
      <c r="B6" s="785"/>
    </row>
    <row r="7" spans="1:2" ht="0.75" customHeight="1" hidden="1">
      <c r="A7" s="67"/>
      <c r="B7" s="67"/>
    </row>
    <row r="8" spans="1:6" s="70" customFormat="1" ht="16.5" thickBot="1">
      <c r="A8" s="68" t="s">
        <v>216</v>
      </c>
      <c r="B8" s="69" t="s">
        <v>217</v>
      </c>
      <c r="C8" s="760"/>
      <c r="D8" s="760"/>
      <c r="E8" s="760"/>
      <c r="F8" s="760"/>
    </row>
    <row r="9" spans="1:6" s="70" customFormat="1" ht="16.5" thickBot="1">
      <c r="A9" s="68" t="s">
        <v>218</v>
      </c>
      <c r="B9" s="69" t="s">
        <v>219</v>
      </c>
      <c r="C9" s="761"/>
      <c r="D9" s="761"/>
      <c r="E9" s="761"/>
      <c r="F9" s="761"/>
    </row>
    <row r="10" spans="1:2" ht="9" customHeight="1" hidden="1">
      <c r="A10" s="71"/>
      <c r="B10" s="72"/>
    </row>
    <row r="11" spans="1:3" ht="12" customHeight="1">
      <c r="A11" s="781" t="s">
        <v>220</v>
      </c>
      <c r="B11" s="773" t="s">
        <v>221</v>
      </c>
      <c r="C11" s="125" t="s">
        <v>222</v>
      </c>
    </row>
    <row r="12" spans="1:2" ht="12.75" customHeight="1" hidden="1">
      <c r="A12" s="782"/>
      <c r="B12" s="774"/>
    </row>
    <row r="13" spans="1:3" ht="9" customHeight="1" thickBot="1">
      <c r="A13" s="783"/>
      <c r="B13" s="775"/>
      <c r="C13" s="125" t="s">
        <v>223</v>
      </c>
    </row>
    <row r="14" spans="1:6" s="75" customFormat="1" ht="12" thickBot="1">
      <c r="A14" s="73">
        <v>1</v>
      </c>
      <c r="B14" s="74">
        <v>2</v>
      </c>
      <c r="C14" s="128">
        <v>3</v>
      </c>
      <c r="D14" s="128">
        <v>4</v>
      </c>
      <c r="E14" s="128">
        <v>4</v>
      </c>
      <c r="F14" s="128">
        <v>4</v>
      </c>
    </row>
    <row r="15" spans="1:6" s="75" customFormat="1" ht="19.5">
      <c r="A15" s="769" t="s">
        <v>224</v>
      </c>
      <c r="B15" s="770"/>
      <c r="C15" s="129">
        <v>2019</v>
      </c>
      <c r="D15" s="129">
        <v>2020</v>
      </c>
      <c r="E15" s="129">
        <v>2021</v>
      </c>
      <c r="F15" s="129">
        <v>2022</v>
      </c>
    </row>
    <row r="16" spans="1:3" ht="12.75">
      <c r="A16" s="76" t="s">
        <v>225</v>
      </c>
      <c r="B16" s="77">
        <v>211</v>
      </c>
      <c r="C16" s="130"/>
    </row>
    <row r="17" spans="1:6" ht="12.75">
      <c r="A17" s="76" t="s">
        <v>226</v>
      </c>
      <c r="B17" s="77">
        <v>211</v>
      </c>
      <c r="C17" s="130">
        <f>9549846.9+950479.72+909774.45</f>
        <v>11410101.07</v>
      </c>
      <c r="D17" s="185">
        <v>11338425</v>
      </c>
      <c r="E17" s="148">
        <v>11338425</v>
      </c>
      <c r="F17" s="148">
        <v>11338425</v>
      </c>
    </row>
    <row r="18" spans="1:6" ht="12.75">
      <c r="A18" s="78" t="s">
        <v>227</v>
      </c>
      <c r="B18" s="777">
        <v>212</v>
      </c>
      <c r="C18" s="130"/>
      <c r="D18" s="131"/>
      <c r="E18" s="131"/>
      <c r="F18" s="131"/>
    </row>
    <row r="19" spans="1:6" ht="12.75">
      <c r="A19" s="81" t="s">
        <v>228</v>
      </c>
      <c r="B19" s="777"/>
      <c r="C19" s="130"/>
      <c r="D19" s="131"/>
      <c r="E19" s="131"/>
      <c r="F19" s="131"/>
    </row>
    <row r="20" spans="1:6" s="175" customFormat="1" ht="12.75">
      <c r="A20" s="172" t="s">
        <v>229</v>
      </c>
      <c r="B20" s="777"/>
      <c r="C20" s="173">
        <f>129952-12952</f>
        <v>117000</v>
      </c>
      <c r="D20" s="144">
        <v>117000</v>
      </c>
      <c r="E20" s="144">
        <v>117000</v>
      </c>
      <c r="F20" s="144">
        <v>117000</v>
      </c>
    </row>
    <row r="21" spans="1:6" ht="12.75">
      <c r="A21" s="78" t="s">
        <v>230</v>
      </c>
      <c r="B21" s="79">
        <v>213</v>
      </c>
      <c r="C21" s="130">
        <f>2883585.05+287044.88+274751.88</f>
        <v>3445381.8099999996</v>
      </c>
      <c r="D21" s="131">
        <v>3424205</v>
      </c>
      <c r="E21" s="131">
        <v>3424205</v>
      </c>
      <c r="F21" s="131">
        <v>3424205</v>
      </c>
    </row>
    <row r="22" spans="1:6" ht="12.75">
      <c r="A22" s="83" t="s">
        <v>231</v>
      </c>
      <c r="B22" s="84">
        <v>222</v>
      </c>
      <c r="C22" s="130">
        <f>10000-3688-3412</f>
        <v>2900</v>
      </c>
      <c r="D22" s="131">
        <v>10000</v>
      </c>
      <c r="E22" s="131">
        <v>10000</v>
      </c>
      <c r="F22" s="131">
        <v>10000</v>
      </c>
    </row>
    <row r="23" spans="1:6" ht="12.75">
      <c r="A23" s="83" t="s">
        <v>232</v>
      </c>
      <c r="B23" s="84">
        <v>226</v>
      </c>
      <c r="C23" s="130">
        <v>0</v>
      </c>
      <c r="D23" s="131"/>
      <c r="E23" s="131"/>
      <c r="F23" s="131"/>
    </row>
    <row r="24" spans="1:6" s="87" customFormat="1" ht="12.75">
      <c r="A24" s="85" t="s">
        <v>233</v>
      </c>
      <c r="B24" s="86" t="s">
        <v>234</v>
      </c>
      <c r="C24" s="130">
        <v>0</v>
      </c>
      <c r="D24" s="131"/>
      <c r="E24" s="131"/>
      <c r="F24" s="131"/>
    </row>
    <row r="25" spans="1:6" s="87" customFormat="1" ht="13.5" thickBot="1">
      <c r="A25" s="88" t="s">
        <v>235</v>
      </c>
      <c r="B25" s="89" t="s">
        <v>234</v>
      </c>
      <c r="C25" s="131">
        <f>C18+C16+C21</f>
        <v>3445381.8099999996</v>
      </c>
      <c r="D25" s="131"/>
      <c r="E25" s="131"/>
      <c r="F25" s="131"/>
    </row>
    <row r="26" spans="1:6" s="92" customFormat="1" ht="12.75">
      <c r="A26" s="90"/>
      <c r="B26" s="91"/>
      <c r="C26" s="131">
        <v>0</v>
      </c>
      <c r="D26" s="131"/>
      <c r="E26" s="131">
        <v>0</v>
      </c>
      <c r="F26" s="131">
        <v>0</v>
      </c>
    </row>
    <row r="27" spans="1:6" s="171" customFormat="1" ht="12.75">
      <c r="A27" s="169" t="s">
        <v>236</v>
      </c>
      <c r="B27" s="778">
        <v>221</v>
      </c>
      <c r="C27" s="170">
        <f>SUM(C28:C34)</f>
        <v>17910</v>
      </c>
      <c r="D27" s="170">
        <f>SUM(D28:D34)</f>
        <v>18626.4</v>
      </c>
      <c r="E27" s="170">
        <f>SUM(E28:E34)</f>
        <v>18801.45</v>
      </c>
      <c r="F27" s="170">
        <f>SUM(F28:F34)</f>
        <v>20146.309999999998</v>
      </c>
    </row>
    <row r="28" spans="1:6" ht="25.5">
      <c r="A28" s="93" t="s">
        <v>237</v>
      </c>
      <c r="B28" s="779"/>
      <c r="C28" s="131">
        <v>0</v>
      </c>
      <c r="D28" s="131"/>
      <c r="E28" s="131"/>
      <c r="F28" s="131"/>
    </row>
    <row r="29" spans="1:6" ht="25.5">
      <c r="A29" s="93" t="s">
        <v>238</v>
      </c>
      <c r="B29" s="779"/>
      <c r="C29" s="131"/>
      <c r="D29" s="264"/>
      <c r="E29" s="131"/>
      <c r="F29" s="131"/>
    </row>
    <row r="30" spans="1:6" ht="25.5">
      <c r="A30" s="93" t="s">
        <v>239</v>
      </c>
      <c r="B30" s="779"/>
      <c r="C30" s="131">
        <v>15750</v>
      </c>
      <c r="D30" s="264">
        <v>11000</v>
      </c>
      <c r="E30" s="131">
        <v>11440</v>
      </c>
      <c r="F30" s="131">
        <v>11897.6</v>
      </c>
    </row>
    <row r="31" spans="1:6" ht="12.75">
      <c r="A31" s="82" t="s">
        <v>240</v>
      </c>
      <c r="B31" s="779"/>
      <c r="C31" s="131">
        <v>0</v>
      </c>
      <c r="D31" s="264"/>
      <c r="E31" s="131">
        <v>0</v>
      </c>
      <c r="F31" s="131">
        <v>0</v>
      </c>
    </row>
    <row r="32" spans="1:6" ht="12.75">
      <c r="A32" s="82" t="s">
        <v>241</v>
      </c>
      <c r="B32" s="779"/>
      <c r="C32" s="131">
        <v>2160</v>
      </c>
      <c r="D32" s="264">
        <v>7626.4</v>
      </c>
      <c r="E32" s="131">
        <v>7361.45</v>
      </c>
      <c r="F32" s="131">
        <v>8248.71</v>
      </c>
    </row>
    <row r="33" spans="1:6" ht="12.75">
      <c r="A33" s="82" t="s">
        <v>242</v>
      </c>
      <c r="B33" s="779"/>
      <c r="C33" s="131">
        <v>0</v>
      </c>
      <c r="D33" s="264"/>
      <c r="E33" s="131">
        <v>0</v>
      </c>
      <c r="F33" s="131">
        <v>0</v>
      </c>
    </row>
    <row r="34" spans="1:6" ht="12.75">
      <c r="A34" s="94" t="s">
        <v>243</v>
      </c>
      <c r="B34" s="780"/>
      <c r="C34" s="131">
        <v>0</v>
      </c>
      <c r="D34" s="264"/>
      <c r="E34" s="131">
        <v>0</v>
      </c>
      <c r="F34" s="131">
        <v>0</v>
      </c>
    </row>
    <row r="35" spans="1:6" ht="12.75">
      <c r="A35" s="76" t="s">
        <v>244</v>
      </c>
      <c r="B35" s="765">
        <v>222</v>
      </c>
      <c r="C35" s="131">
        <v>0</v>
      </c>
      <c r="D35" s="131"/>
      <c r="E35" s="131">
        <v>0</v>
      </c>
      <c r="F35" s="131">
        <v>0</v>
      </c>
    </row>
    <row r="36" spans="1:6" ht="12.75">
      <c r="A36" s="95" t="s">
        <v>245</v>
      </c>
      <c r="B36" s="765"/>
      <c r="C36" s="131">
        <v>0</v>
      </c>
      <c r="D36" s="131"/>
      <c r="E36" s="131">
        <v>0</v>
      </c>
      <c r="F36" s="131">
        <v>0</v>
      </c>
    </row>
    <row r="37" spans="1:6" ht="12.75">
      <c r="A37" s="96" t="s">
        <v>246</v>
      </c>
      <c r="B37" s="765">
        <v>223</v>
      </c>
      <c r="C37" s="80">
        <f>SUM(C38:C42)</f>
        <v>1559321.7999999998</v>
      </c>
      <c r="D37" s="80">
        <f>SUM(D38:D42)</f>
        <v>1621694.66</v>
      </c>
      <c r="E37" s="80">
        <f>SUM(E38:E42)</f>
        <v>1686562.4464</v>
      </c>
      <c r="F37" s="80">
        <f>SUM(F38:F42)</f>
        <v>1785044.1372000002</v>
      </c>
    </row>
    <row r="38" spans="1:7" ht="12.75">
      <c r="A38" s="95" t="s">
        <v>247</v>
      </c>
      <c r="B38" s="765"/>
      <c r="C38" s="131">
        <f>933595.95-2275.51+200000</f>
        <v>1131320.44</v>
      </c>
      <c r="D38" s="266">
        <v>1176573.25</v>
      </c>
      <c r="E38" s="267">
        <f>D38*1.04</f>
        <v>1223636.18</v>
      </c>
      <c r="F38" s="267">
        <f>E38*1.04</f>
        <v>1272581.6272</v>
      </c>
      <c r="G38" s="263"/>
    </row>
    <row r="39" spans="1:6" ht="12.75">
      <c r="A39" s="83" t="s">
        <v>248</v>
      </c>
      <c r="B39" s="765"/>
      <c r="C39" s="131">
        <v>0</v>
      </c>
      <c r="D39" s="266"/>
      <c r="E39" s="267">
        <f>D39*1.04</f>
        <v>0</v>
      </c>
      <c r="F39" s="267"/>
    </row>
    <row r="40" spans="1:7" ht="12.75">
      <c r="A40" s="83" t="s">
        <v>249</v>
      </c>
      <c r="B40" s="765"/>
      <c r="C40" s="131">
        <v>176799</v>
      </c>
      <c r="D40" s="266">
        <v>183870.96</v>
      </c>
      <c r="E40" s="267">
        <f>D40*1.04</f>
        <v>191225.7984</v>
      </c>
      <c r="F40" s="267">
        <v>198874.83</v>
      </c>
      <c r="G40" s="268"/>
    </row>
    <row r="41" spans="1:7" ht="12.75">
      <c r="A41" s="83" t="s">
        <v>250</v>
      </c>
      <c r="B41" s="765"/>
      <c r="C41" s="131">
        <v>211366.36</v>
      </c>
      <c r="D41" s="266">
        <v>219821.01</v>
      </c>
      <c r="E41" s="267">
        <f>D41*1.04</f>
        <v>228613.85040000002</v>
      </c>
      <c r="F41" s="267">
        <v>268777.6</v>
      </c>
      <c r="G41" s="268"/>
    </row>
    <row r="42" spans="1:7" s="97" customFormat="1" ht="12.75">
      <c r="A42" s="93" t="s">
        <v>352</v>
      </c>
      <c r="B42" s="765"/>
      <c r="C42" s="131">
        <f>31500+7442.05+893.95</f>
        <v>39836</v>
      </c>
      <c r="D42" s="266">
        <v>41429.44</v>
      </c>
      <c r="E42" s="267">
        <f>D42*1.04</f>
        <v>43086.617600000005</v>
      </c>
      <c r="F42" s="267">
        <v>44810.08</v>
      </c>
      <c r="G42" s="268"/>
    </row>
    <row r="43" spans="1:6" ht="12.75" customHeight="1">
      <c r="A43" s="98" t="s">
        <v>251</v>
      </c>
      <c r="B43" s="762">
        <v>224</v>
      </c>
      <c r="C43" s="131">
        <v>0</v>
      </c>
      <c r="D43" s="267"/>
      <c r="E43" s="267"/>
      <c r="F43" s="267"/>
    </row>
    <row r="44" spans="1:6" ht="12.75">
      <c r="A44" s="95" t="s">
        <v>252</v>
      </c>
      <c r="B44" s="763"/>
      <c r="C44" s="131">
        <v>0</v>
      </c>
      <c r="D44" s="131"/>
      <c r="E44" s="131"/>
      <c r="F44" s="131"/>
    </row>
    <row r="45" spans="1:6" ht="12.75" hidden="1">
      <c r="A45" s="83"/>
      <c r="B45" s="763"/>
      <c r="C45" s="131">
        <v>0</v>
      </c>
      <c r="D45" s="131">
        <v>0</v>
      </c>
      <c r="E45" s="131">
        <v>0</v>
      </c>
      <c r="F45" s="131">
        <v>0</v>
      </c>
    </row>
    <row r="46" spans="1:6" ht="12.75" hidden="1">
      <c r="A46" s="93"/>
      <c r="B46" s="764"/>
      <c r="C46" s="131">
        <v>0</v>
      </c>
      <c r="D46" s="131">
        <v>0</v>
      </c>
      <c r="E46" s="131">
        <v>0</v>
      </c>
      <c r="F46" s="131">
        <v>0</v>
      </c>
    </row>
    <row r="47" spans="1:6" ht="12.75">
      <c r="A47" s="96" t="s">
        <v>253</v>
      </c>
      <c r="B47" s="762">
        <v>225</v>
      </c>
      <c r="C47" s="80">
        <f>SUM(C48:C84)</f>
        <v>308069.96</v>
      </c>
      <c r="D47" s="80">
        <f>SUM(D48:D84)</f>
        <v>307435.58999999997</v>
      </c>
      <c r="E47" s="80">
        <f>SUM(E48:E84)</f>
        <v>319733.0136</v>
      </c>
      <c r="F47" s="80">
        <f>SUM(F48:F84)</f>
        <v>332522.334144</v>
      </c>
    </row>
    <row r="48" spans="1:6" ht="12.75">
      <c r="A48" s="99" t="s">
        <v>254</v>
      </c>
      <c r="B48" s="763"/>
      <c r="C48" s="131">
        <v>0</v>
      </c>
      <c r="D48" s="264">
        <v>0</v>
      </c>
      <c r="E48" s="131">
        <v>0</v>
      </c>
      <c r="F48" s="131">
        <v>0</v>
      </c>
    </row>
    <row r="49" spans="1:7" ht="12.75">
      <c r="A49" s="133" t="s">
        <v>255</v>
      </c>
      <c r="B49" s="763"/>
      <c r="C49" s="134">
        <f>15120-120</f>
        <v>15000</v>
      </c>
      <c r="D49" s="264">
        <v>15600</v>
      </c>
      <c r="E49" s="131">
        <f>D49*1.04</f>
        <v>16224</v>
      </c>
      <c r="F49" s="131">
        <f>E49*1.04</f>
        <v>16872.96</v>
      </c>
      <c r="G49" s="263"/>
    </row>
    <row r="50" spans="1:6" ht="25.5">
      <c r="A50" s="100" t="s">
        <v>256</v>
      </c>
      <c r="B50" s="763"/>
      <c r="C50" s="134">
        <f>16275-16275</f>
        <v>0</v>
      </c>
      <c r="D50" s="264">
        <f>16926-16000</f>
        <v>926</v>
      </c>
      <c r="E50" s="131">
        <f aca="true" t="shared" si="0" ref="E50:F84">D50*1.04</f>
        <v>963.0400000000001</v>
      </c>
      <c r="F50" s="131">
        <f t="shared" si="0"/>
        <v>1001.5616000000001</v>
      </c>
    </row>
    <row r="51" spans="1:6" ht="12.75">
      <c r="A51" s="100" t="s">
        <v>257</v>
      </c>
      <c r="B51" s="763"/>
      <c r="C51" s="134">
        <v>17784.31</v>
      </c>
      <c r="D51" s="264">
        <f>18495.68+974.32</f>
        <v>19470</v>
      </c>
      <c r="E51" s="131">
        <f t="shared" si="0"/>
        <v>20248.8</v>
      </c>
      <c r="F51" s="131">
        <f t="shared" si="0"/>
        <v>21058.752</v>
      </c>
    </row>
    <row r="52" spans="1:6" s="135" customFormat="1" ht="12.75">
      <c r="A52" s="93" t="s">
        <v>258</v>
      </c>
      <c r="B52" s="763"/>
      <c r="C52" s="134">
        <f>27698.4+2067.61+4239.99</f>
        <v>34006</v>
      </c>
      <c r="D52" s="264">
        <f>C52*1.04+974.32-1948.64</f>
        <v>34391.92</v>
      </c>
      <c r="E52" s="131">
        <f t="shared" si="0"/>
        <v>35767.5968</v>
      </c>
      <c r="F52" s="131">
        <f t="shared" si="0"/>
        <v>37198.300672</v>
      </c>
    </row>
    <row r="53" spans="1:6" s="135" customFormat="1" ht="12.75">
      <c r="A53" s="93" t="s">
        <v>259</v>
      </c>
      <c r="B53" s="763"/>
      <c r="C53" s="134">
        <f>34342.35-893.95-1800-27698.4</f>
        <v>3950</v>
      </c>
      <c r="D53" s="264">
        <f>C53*1.04</f>
        <v>4108</v>
      </c>
      <c r="E53" s="131">
        <f t="shared" si="0"/>
        <v>4272.32</v>
      </c>
      <c r="F53" s="131">
        <f t="shared" si="0"/>
        <v>4443.2128</v>
      </c>
    </row>
    <row r="54" spans="1:6" ht="12.75">
      <c r="A54" s="93" t="s">
        <v>433</v>
      </c>
      <c r="B54" s="763"/>
      <c r="C54" s="134">
        <v>0</v>
      </c>
      <c r="D54" s="264"/>
      <c r="E54" s="131">
        <f t="shared" si="0"/>
        <v>0</v>
      </c>
      <c r="F54" s="131">
        <f t="shared" si="0"/>
        <v>0</v>
      </c>
    </row>
    <row r="55" spans="1:6" ht="12.75">
      <c r="A55" s="93" t="s">
        <v>260</v>
      </c>
      <c r="B55" s="763"/>
      <c r="C55" s="134">
        <v>63000</v>
      </c>
      <c r="D55" s="264">
        <f>65520-872.23</f>
        <v>64647.77</v>
      </c>
      <c r="E55" s="131">
        <f t="shared" si="0"/>
        <v>67233.6808</v>
      </c>
      <c r="F55" s="131">
        <f t="shared" si="0"/>
        <v>69923.028032</v>
      </c>
    </row>
    <row r="56" spans="1:6" ht="12.75">
      <c r="A56" s="93" t="s">
        <v>261</v>
      </c>
      <c r="B56" s="763"/>
      <c r="C56" s="134">
        <v>0</v>
      </c>
      <c r="D56" s="264">
        <v>4958.4</v>
      </c>
      <c r="E56" s="131">
        <f t="shared" si="0"/>
        <v>5156.736</v>
      </c>
      <c r="F56" s="131">
        <f t="shared" si="0"/>
        <v>5363.00544</v>
      </c>
    </row>
    <row r="57" spans="1:6" ht="12.75">
      <c r="A57" s="93" t="s">
        <v>262</v>
      </c>
      <c r="B57" s="763"/>
      <c r="C57" s="134">
        <v>63000</v>
      </c>
      <c r="D57" s="264">
        <f>65520-2628</f>
        <v>62892</v>
      </c>
      <c r="E57" s="131">
        <f t="shared" si="0"/>
        <v>65407.68</v>
      </c>
      <c r="F57" s="131">
        <f t="shared" si="0"/>
        <v>68023.9872</v>
      </c>
    </row>
    <row r="58" spans="1:6" ht="12.75">
      <c r="A58" s="93" t="s">
        <v>263</v>
      </c>
      <c r="B58" s="763"/>
      <c r="C58" s="134">
        <v>0</v>
      </c>
      <c r="D58" s="264"/>
      <c r="E58" s="131">
        <f t="shared" si="0"/>
        <v>0</v>
      </c>
      <c r="F58" s="131">
        <f t="shared" si="0"/>
        <v>0</v>
      </c>
    </row>
    <row r="59" spans="1:6" ht="12.75">
      <c r="A59" s="93" t="s">
        <v>264</v>
      </c>
      <c r="B59" s="763"/>
      <c r="C59" s="134">
        <v>0</v>
      </c>
      <c r="D59" s="264"/>
      <c r="E59" s="131">
        <f t="shared" si="0"/>
        <v>0</v>
      </c>
      <c r="F59" s="131">
        <f t="shared" si="0"/>
        <v>0</v>
      </c>
    </row>
    <row r="60" spans="1:6" ht="12.75">
      <c r="A60" s="93" t="s">
        <v>265</v>
      </c>
      <c r="B60" s="763"/>
      <c r="C60" s="134">
        <v>0</v>
      </c>
      <c r="D60" s="131"/>
      <c r="E60" s="131">
        <f t="shared" si="0"/>
        <v>0</v>
      </c>
      <c r="F60" s="131">
        <f t="shared" si="0"/>
        <v>0</v>
      </c>
    </row>
    <row r="61" spans="1:6" ht="12.75">
      <c r="A61" s="93" t="s">
        <v>266</v>
      </c>
      <c r="B61" s="763"/>
      <c r="C61" s="134">
        <v>0</v>
      </c>
      <c r="D61" s="131"/>
      <c r="E61" s="131">
        <f t="shared" si="0"/>
        <v>0</v>
      </c>
      <c r="F61" s="131">
        <f t="shared" si="0"/>
        <v>0</v>
      </c>
    </row>
    <row r="62" spans="1:6" ht="12.75">
      <c r="A62" s="93" t="s">
        <v>267</v>
      </c>
      <c r="B62" s="763"/>
      <c r="C62" s="134">
        <v>0</v>
      </c>
      <c r="D62" s="131"/>
      <c r="E62" s="131">
        <f t="shared" si="0"/>
        <v>0</v>
      </c>
      <c r="F62" s="131">
        <f t="shared" si="0"/>
        <v>0</v>
      </c>
    </row>
    <row r="63" spans="1:6" ht="12.75">
      <c r="A63" s="93" t="s">
        <v>268</v>
      </c>
      <c r="B63" s="763"/>
      <c r="C63" s="134">
        <v>0</v>
      </c>
      <c r="D63" s="131"/>
      <c r="E63" s="131">
        <f t="shared" si="0"/>
        <v>0</v>
      </c>
      <c r="F63" s="131">
        <f t="shared" si="0"/>
        <v>0</v>
      </c>
    </row>
    <row r="64" spans="1:6" ht="12.75">
      <c r="A64" s="93" t="s">
        <v>269</v>
      </c>
      <c r="B64" s="763"/>
      <c r="C64" s="134">
        <v>0</v>
      </c>
      <c r="D64" s="131"/>
      <c r="E64" s="131">
        <f t="shared" si="0"/>
        <v>0</v>
      </c>
      <c r="F64" s="131">
        <f t="shared" si="0"/>
        <v>0</v>
      </c>
    </row>
    <row r="65" spans="1:6" ht="25.5">
      <c r="A65" s="93" t="s">
        <v>270</v>
      </c>
      <c r="B65" s="763"/>
      <c r="C65" s="134">
        <f>7442.05-7442.05</f>
        <v>0</v>
      </c>
      <c r="D65" s="131"/>
      <c r="E65" s="131">
        <f t="shared" si="0"/>
        <v>0</v>
      </c>
      <c r="F65" s="131">
        <f t="shared" si="0"/>
        <v>0</v>
      </c>
    </row>
    <row r="66" spans="1:6" ht="12.75">
      <c r="A66" s="93" t="s">
        <v>271</v>
      </c>
      <c r="B66" s="763"/>
      <c r="C66" s="134">
        <v>0</v>
      </c>
      <c r="D66" s="131"/>
      <c r="E66" s="131">
        <f t="shared" si="0"/>
        <v>0</v>
      </c>
      <c r="F66" s="131">
        <f t="shared" si="0"/>
        <v>0</v>
      </c>
    </row>
    <row r="67" spans="1:6" ht="25.5">
      <c r="A67" s="93" t="s">
        <v>272</v>
      </c>
      <c r="B67" s="763"/>
      <c r="C67" s="134">
        <v>0</v>
      </c>
      <c r="D67" s="131"/>
      <c r="E67" s="131">
        <f t="shared" si="0"/>
        <v>0</v>
      </c>
      <c r="F67" s="131">
        <f t="shared" si="0"/>
        <v>0</v>
      </c>
    </row>
    <row r="68" spans="1:6" ht="12.75">
      <c r="A68" s="93" t="s">
        <v>273</v>
      </c>
      <c r="B68" s="763"/>
      <c r="C68" s="134">
        <v>0</v>
      </c>
      <c r="D68" s="131"/>
      <c r="E68" s="131">
        <f t="shared" si="0"/>
        <v>0</v>
      </c>
      <c r="F68" s="131">
        <f t="shared" si="0"/>
        <v>0</v>
      </c>
    </row>
    <row r="69" spans="1:6" ht="12.75">
      <c r="A69" s="93" t="s">
        <v>274</v>
      </c>
      <c r="B69" s="763"/>
      <c r="C69" s="134">
        <v>0</v>
      </c>
      <c r="D69" s="131"/>
      <c r="E69" s="131">
        <f t="shared" si="0"/>
        <v>0</v>
      </c>
      <c r="F69" s="131">
        <f t="shared" si="0"/>
        <v>0</v>
      </c>
    </row>
    <row r="70" spans="1:6" ht="12.75">
      <c r="A70" s="93" t="s">
        <v>275</v>
      </c>
      <c r="B70" s="763"/>
      <c r="C70" s="134">
        <v>0</v>
      </c>
      <c r="D70" s="131"/>
      <c r="E70" s="131">
        <f t="shared" si="0"/>
        <v>0</v>
      </c>
      <c r="F70" s="131">
        <f t="shared" si="0"/>
        <v>0</v>
      </c>
    </row>
    <row r="71" spans="1:6" ht="12.75">
      <c r="A71" s="93" t="s">
        <v>276</v>
      </c>
      <c r="B71" s="763"/>
      <c r="C71" s="134">
        <v>0</v>
      </c>
      <c r="D71" s="131"/>
      <c r="E71" s="131">
        <f t="shared" si="0"/>
        <v>0</v>
      </c>
      <c r="F71" s="131">
        <f t="shared" si="0"/>
        <v>0</v>
      </c>
    </row>
    <row r="72" spans="1:6" ht="12.75">
      <c r="A72" s="93" t="s">
        <v>277</v>
      </c>
      <c r="B72" s="763"/>
      <c r="C72" s="134">
        <v>0</v>
      </c>
      <c r="D72" s="264"/>
      <c r="E72" s="131">
        <f t="shared" si="0"/>
        <v>0</v>
      </c>
      <c r="F72" s="131">
        <f t="shared" si="0"/>
        <v>0</v>
      </c>
    </row>
    <row r="73" spans="1:6" ht="12.75">
      <c r="A73" s="93" t="s">
        <v>288</v>
      </c>
      <c r="B73" s="763"/>
      <c r="C73" s="134">
        <v>0</v>
      </c>
      <c r="D73" s="264">
        <v>5000</v>
      </c>
      <c r="E73" s="131">
        <f t="shared" si="0"/>
        <v>5200</v>
      </c>
      <c r="F73" s="131">
        <f t="shared" si="0"/>
        <v>5408</v>
      </c>
    </row>
    <row r="74" spans="1:6" ht="12.75">
      <c r="A74" s="93" t="s">
        <v>278</v>
      </c>
      <c r="B74" s="763"/>
      <c r="C74" s="134">
        <v>12600</v>
      </c>
      <c r="D74" s="264">
        <v>13104</v>
      </c>
      <c r="E74" s="131">
        <f t="shared" si="0"/>
        <v>13628.16</v>
      </c>
      <c r="F74" s="131">
        <f t="shared" si="0"/>
        <v>14173.2864</v>
      </c>
    </row>
    <row r="75" spans="1:6" ht="12.75">
      <c r="A75" s="93" t="s">
        <v>279</v>
      </c>
      <c r="B75" s="763"/>
      <c r="C75" s="134">
        <f>29390+19200</f>
        <v>48590</v>
      </c>
      <c r="D75" s="264">
        <f>31200-4000</f>
        <v>27200</v>
      </c>
      <c r="E75" s="131">
        <f t="shared" si="0"/>
        <v>28288</v>
      </c>
      <c r="F75" s="131">
        <f t="shared" si="0"/>
        <v>29419.52</v>
      </c>
    </row>
    <row r="76" spans="1:6" ht="12.75">
      <c r="A76" s="93" t="s">
        <v>336</v>
      </c>
      <c r="B76" s="763"/>
      <c r="C76" s="134">
        <v>0</v>
      </c>
      <c r="D76" s="264"/>
      <c r="E76" s="131">
        <f t="shared" si="0"/>
        <v>0</v>
      </c>
      <c r="F76" s="131">
        <f t="shared" si="0"/>
        <v>0</v>
      </c>
    </row>
    <row r="77" spans="1:6" ht="12.75">
      <c r="A77" s="93" t="s">
        <v>280</v>
      </c>
      <c r="B77" s="763"/>
      <c r="C77" s="134">
        <f>20900-5900</f>
        <v>15000</v>
      </c>
      <c r="D77" s="264">
        <v>21736</v>
      </c>
      <c r="E77" s="131">
        <f t="shared" si="0"/>
        <v>22605.440000000002</v>
      </c>
      <c r="F77" s="131">
        <f t="shared" si="0"/>
        <v>23509.657600000002</v>
      </c>
    </row>
    <row r="78" spans="1:6" ht="12.75">
      <c r="A78" s="93" t="s">
        <v>281</v>
      </c>
      <c r="B78" s="763"/>
      <c r="C78" s="134">
        <v>1100</v>
      </c>
      <c r="D78" s="264">
        <v>1500</v>
      </c>
      <c r="E78" s="131">
        <f t="shared" si="0"/>
        <v>1560</v>
      </c>
      <c r="F78" s="131">
        <f t="shared" si="0"/>
        <v>1622.4</v>
      </c>
    </row>
    <row r="79" spans="1:6" ht="12.75">
      <c r="A79" s="93" t="s">
        <v>337</v>
      </c>
      <c r="B79" s="763"/>
      <c r="C79" s="134">
        <v>0</v>
      </c>
      <c r="D79" s="264"/>
      <c r="E79" s="131">
        <f t="shared" si="0"/>
        <v>0</v>
      </c>
      <c r="F79" s="131">
        <f t="shared" si="0"/>
        <v>0</v>
      </c>
    </row>
    <row r="80" spans="1:6" ht="12.75">
      <c r="A80" s="93" t="s">
        <v>282</v>
      </c>
      <c r="B80" s="763"/>
      <c r="C80" s="134">
        <f>38412.15-27244</f>
        <v>11168.150000000001</v>
      </c>
      <c r="D80" s="264">
        <f>39948.63-6421.5-1200-32327.13</f>
        <v>0</v>
      </c>
      <c r="E80" s="131">
        <f t="shared" si="0"/>
        <v>0</v>
      </c>
      <c r="F80" s="131">
        <f t="shared" si="0"/>
        <v>0</v>
      </c>
    </row>
    <row r="81" spans="1:6" ht="12.75">
      <c r="A81" s="93" t="s">
        <v>355</v>
      </c>
      <c r="B81" s="763"/>
      <c r="C81" s="134">
        <v>2450</v>
      </c>
      <c r="D81" s="264"/>
      <c r="E81" s="131">
        <f t="shared" si="0"/>
        <v>0</v>
      </c>
      <c r="F81" s="131">
        <f t="shared" si="0"/>
        <v>0</v>
      </c>
    </row>
    <row r="82" spans="1:6" ht="12.75">
      <c r="A82" s="136" t="s">
        <v>283</v>
      </c>
      <c r="B82" s="763"/>
      <c r="C82" s="134">
        <f>10500-10500</f>
        <v>0</v>
      </c>
      <c r="D82" s="264">
        <v>10920</v>
      </c>
      <c r="E82" s="131">
        <f t="shared" si="0"/>
        <v>11356.800000000001</v>
      </c>
      <c r="F82" s="131">
        <f t="shared" si="0"/>
        <v>11811.072000000002</v>
      </c>
    </row>
    <row r="83" spans="1:6" ht="12.75">
      <c r="A83" s="136" t="s">
        <v>375</v>
      </c>
      <c r="B83" s="763"/>
      <c r="C83" s="134">
        <v>14000</v>
      </c>
      <c r="D83" s="264">
        <v>14560</v>
      </c>
      <c r="E83" s="131">
        <f t="shared" si="0"/>
        <v>15142.4</v>
      </c>
      <c r="F83" s="131">
        <f t="shared" si="0"/>
        <v>15748.096</v>
      </c>
    </row>
    <row r="84" spans="1:6" ht="12.75">
      <c r="A84" s="136" t="s">
        <v>380</v>
      </c>
      <c r="B84" s="764"/>
      <c r="C84" s="134">
        <f>3577.54+1773.71+1070.25</f>
        <v>6421.5</v>
      </c>
      <c r="D84" s="264">
        <v>6421.5</v>
      </c>
      <c r="E84" s="131">
        <f t="shared" si="0"/>
        <v>6678.360000000001</v>
      </c>
      <c r="F84" s="131">
        <f t="shared" si="0"/>
        <v>6945.4944000000005</v>
      </c>
    </row>
    <row r="85" spans="1:8" ht="12.75">
      <c r="A85" s="137" t="s">
        <v>284</v>
      </c>
      <c r="B85" s="766">
        <v>226</v>
      </c>
      <c r="C85" s="138">
        <f>SUM(C86:C119)-C108</f>
        <v>978656.73</v>
      </c>
      <c r="D85" s="138">
        <f>SUM(D86:D119)</f>
        <v>2220089.4899999998</v>
      </c>
      <c r="E85" s="138">
        <f>SUM(E86:E119)-E108</f>
        <v>1739533.9840000002</v>
      </c>
      <c r="F85" s="138">
        <f>SUM(F86:F119)-F108</f>
        <v>1809115.3433599998</v>
      </c>
      <c r="H85" s="263">
        <f>D85-D108</f>
        <v>1988789.4899999998</v>
      </c>
    </row>
    <row r="86" spans="1:6" ht="12.75">
      <c r="A86" s="139" t="s">
        <v>285</v>
      </c>
      <c r="B86" s="767"/>
      <c r="C86" s="134">
        <f>31500-288-8470</f>
        <v>22742</v>
      </c>
      <c r="D86" s="264">
        <f>32760-4958.4-4172.64</f>
        <v>23628.96</v>
      </c>
      <c r="E86" s="131">
        <f>D86*1.04</f>
        <v>24574.1184</v>
      </c>
      <c r="F86" s="131">
        <f>E86*1.04</f>
        <v>25557.083136</v>
      </c>
    </row>
    <row r="87" spans="1:6" ht="12.75">
      <c r="A87" s="139" t="s">
        <v>338</v>
      </c>
      <c r="B87" s="767"/>
      <c r="C87" s="134">
        <v>63000</v>
      </c>
      <c r="D87" s="264">
        <f>120000-36000</f>
        <v>84000</v>
      </c>
      <c r="E87" s="131">
        <f aca="true" t="shared" si="1" ref="E87:F107">D87*1.04</f>
        <v>87360</v>
      </c>
      <c r="F87" s="131">
        <f t="shared" si="1"/>
        <v>90854.40000000001</v>
      </c>
    </row>
    <row r="88" spans="1:6" ht="12.75">
      <c r="A88" s="139" t="s">
        <v>428</v>
      </c>
      <c r="B88" s="767"/>
      <c r="C88" s="134">
        <v>0</v>
      </c>
      <c r="D88" s="264">
        <v>40000</v>
      </c>
      <c r="E88" s="131">
        <f t="shared" si="1"/>
        <v>41600</v>
      </c>
      <c r="F88" s="131">
        <f t="shared" si="1"/>
        <v>43264</v>
      </c>
    </row>
    <row r="89" spans="1:6" ht="12.75">
      <c r="A89" s="139" t="s">
        <v>286</v>
      </c>
      <c r="B89" s="767"/>
      <c r="C89" s="134">
        <v>0</v>
      </c>
      <c r="D89" s="264"/>
      <c r="E89" s="131">
        <f t="shared" si="1"/>
        <v>0</v>
      </c>
      <c r="F89" s="131">
        <f t="shared" si="1"/>
        <v>0</v>
      </c>
    </row>
    <row r="90" spans="1:6" ht="12.75">
      <c r="A90" s="139" t="s">
        <v>357</v>
      </c>
      <c r="B90" s="767"/>
      <c r="C90" s="134">
        <v>10000</v>
      </c>
      <c r="D90" s="264">
        <v>10400</v>
      </c>
      <c r="E90" s="131">
        <f t="shared" si="1"/>
        <v>10816</v>
      </c>
      <c r="F90" s="131">
        <f t="shared" si="1"/>
        <v>11248.640000000001</v>
      </c>
    </row>
    <row r="91" spans="1:6" ht="12.75">
      <c r="A91" s="139" t="s">
        <v>287</v>
      </c>
      <c r="B91" s="767"/>
      <c r="C91" s="134">
        <f>2520-2520</f>
        <v>0</v>
      </c>
      <c r="D91" s="264">
        <v>3500</v>
      </c>
      <c r="E91" s="131">
        <f t="shared" si="1"/>
        <v>3640</v>
      </c>
      <c r="F91" s="131">
        <f t="shared" si="1"/>
        <v>3785.6</v>
      </c>
    </row>
    <row r="92" spans="1:6" ht="12.75">
      <c r="A92" s="139" t="s">
        <v>288</v>
      </c>
      <c r="B92" s="767"/>
      <c r="C92" s="134">
        <v>0</v>
      </c>
      <c r="D92" s="264"/>
      <c r="E92" s="131">
        <f t="shared" si="1"/>
        <v>0</v>
      </c>
      <c r="F92" s="131">
        <f t="shared" si="1"/>
        <v>0</v>
      </c>
    </row>
    <row r="93" spans="1:6" ht="12.75">
      <c r="A93" s="140" t="s">
        <v>289</v>
      </c>
      <c r="B93" s="767"/>
      <c r="C93" s="134">
        <v>0</v>
      </c>
      <c r="D93" s="264"/>
      <c r="E93" s="131">
        <f t="shared" si="1"/>
        <v>0</v>
      </c>
      <c r="F93" s="131">
        <f t="shared" si="1"/>
        <v>0</v>
      </c>
    </row>
    <row r="94" spans="1:6" ht="12.75">
      <c r="A94" s="140"/>
      <c r="B94" s="767"/>
      <c r="C94" s="134">
        <v>0</v>
      </c>
      <c r="D94" s="131"/>
      <c r="E94" s="131">
        <f t="shared" si="1"/>
        <v>0</v>
      </c>
      <c r="F94" s="131">
        <f t="shared" si="1"/>
        <v>0</v>
      </c>
    </row>
    <row r="95" spans="1:6" ht="12.75">
      <c r="A95" s="141" t="s">
        <v>290</v>
      </c>
      <c r="B95" s="767"/>
      <c r="C95" s="134">
        <v>0</v>
      </c>
      <c r="D95" s="131"/>
      <c r="E95" s="131">
        <f t="shared" si="1"/>
        <v>0</v>
      </c>
      <c r="F95" s="131">
        <f t="shared" si="1"/>
        <v>0</v>
      </c>
    </row>
    <row r="96" spans="1:6" ht="12.75">
      <c r="A96" s="140" t="s">
        <v>430</v>
      </c>
      <c r="B96" s="767"/>
      <c r="C96" s="134">
        <v>0</v>
      </c>
      <c r="D96" s="131">
        <v>29000</v>
      </c>
      <c r="E96" s="131">
        <f t="shared" si="1"/>
        <v>30160</v>
      </c>
      <c r="F96" s="131">
        <f t="shared" si="1"/>
        <v>31366.4</v>
      </c>
    </row>
    <row r="97" spans="1:6" ht="12.75">
      <c r="A97" s="140" t="s">
        <v>339</v>
      </c>
      <c r="B97" s="767"/>
      <c r="C97" s="134">
        <v>0</v>
      </c>
      <c r="D97" s="131"/>
      <c r="E97" s="131">
        <f t="shared" si="1"/>
        <v>0</v>
      </c>
      <c r="F97" s="131">
        <f t="shared" si="1"/>
        <v>0</v>
      </c>
    </row>
    <row r="98" spans="1:8" ht="12.75">
      <c r="A98" s="140" t="s">
        <v>366</v>
      </c>
      <c r="B98" s="767"/>
      <c r="C98" s="134">
        <v>10000</v>
      </c>
      <c r="D98" s="264">
        <v>10400</v>
      </c>
      <c r="E98" s="131">
        <f t="shared" si="1"/>
        <v>10816</v>
      </c>
      <c r="F98" s="131">
        <f t="shared" si="1"/>
        <v>11248.640000000001</v>
      </c>
      <c r="H98" s="186">
        <f>D85-D108</f>
        <v>1988789.4899999998</v>
      </c>
    </row>
    <row r="99" spans="1:6" ht="12.75">
      <c r="A99" s="140" t="s">
        <v>340</v>
      </c>
      <c r="B99" s="767"/>
      <c r="C99" s="134">
        <v>0</v>
      </c>
      <c r="D99" s="264"/>
      <c r="E99" s="131">
        <f t="shared" si="1"/>
        <v>0</v>
      </c>
      <c r="F99" s="131">
        <f t="shared" si="1"/>
        <v>0</v>
      </c>
    </row>
    <row r="100" spans="1:6" ht="12.75">
      <c r="A100" s="140" t="s">
        <v>291</v>
      </c>
      <c r="B100" s="767"/>
      <c r="C100" s="134">
        <v>3690</v>
      </c>
      <c r="D100" s="264">
        <v>4200</v>
      </c>
      <c r="E100" s="131">
        <f t="shared" si="1"/>
        <v>4368</v>
      </c>
      <c r="F100" s="131">
        <f t="shared" si="1"/>
        <v>4542.72</v>
      </c>
    </row>
    <row r="101" spans="1:6" ht="12.75">
      <c r="A101" s="140" t="s">
        <v>418</v>
      </c>
      <c r="B101" s="767"/>
      <c r="C101" s="134">
        <v>0</v>
      </c>
      <c r="D101" s="264">
        <v>4000</v>
      </c>
      <c r="E101" s="131">
        <f t="shared" si="1"/>
        <v>4160</v>
      </c>
      <c r="F101" s="131">
        <f t="shared" si="1"/>
        <v>4326.400000000001</v>
      </c>
    </row>
    <row r="102" spans="1:6" ht="12.75">
      <c r="A102" s="140" t="s">
        <v>292</v>
      </c>
      <c r="B102" s="767"/>
      <c r="C102" s="134">
        <v>0</v>
      </c>
      <c r="D102" s="264"/>
      <c r="E102" s="131">
        <f t="shared" si="1"/>
        <v>0</v>
      </c>
      <c r="F102" s="131">
        <f t="shared" si="1"/>
        <v>0</v>
      </c>
    </row>
    <row r="103" spans="1:6" ht="12.75">
      <c r="A103" s="140" t="s">
        <v>341</v>
      </c>
      <c r="B103" s="767"/>
      <c r="C103" s="134">
        <v>5900</v>
      </c>
      <c r="D103" s="264">
        <v>6136</v>
      </c>
      <c r="E103" s="131">
        <f t="shared" si="1"/>
        <v>6381.4400000000005</v>
      </c>
      <c r="F103" s="131">
        <f t="shared" si="1"/>
        <v>6636.6976</v>
      </c>
    </row>
    <row r="104" spans="1:6" ht="12.75">
      <c r="A104" s="140" t="s">
        <v>293</v>
      </c>
      <c r="B104" s="767"/>
      <c r="C104" s="134">
        <f>63000-1773.71-18326</f>
        <v>42900.29</v>
      </c>
      <c r="D104" s="264">
        <f>45000-5000</f>
        <v>40000</v>
      </c>
      <c r="E104" s="131">
        <f t="shared" si="1"/>
        <v>41600</v>
      </c>
      <c r="F104" s="131">
        <f t="shared" si="1"/>
        <v>43264</v>
      </c>
    </row>
    <row r="105" spans="1:6" ht="12.75">
      <c r="A105" s="140" t="s">
        <v>342</v>
      </c>
      <c r="B105" s="767"/>
      <c r="C105" s="134">
        <v>0</v>
      </c>
      <c r="D105" s="264"/>
      <c r="E105" s="131">
        <f t="shared" si="1"/>
        <v>0</v>
      </c>
      <c r="F105" s="131">
        <f t="shared" si="1"/>
        <v>0</v>
      </c>
    </row>
    <row r="106" spans="1:6" ht="12.75">
      <c r="A106" s="140" t="s">
        <v>294</v>
      </c>
      <c r="B106" s="767"/>
      <c r="C106" s="134">
        <f>20700+5900+1400</f>
        <v>28000</v>
      </c>
      <c r="D106" s="264">
        <f>C106*1.04</f>
        <v>29120</v>
      </c>
      <c r="E106" s="131">
        <f t="shared" si="1"/>
        <v>30284.8</v>
      </c>
      <c r="F106" s="131">
        <f t="shared" si="1"/>
        <v>31496.192</v>
      </c>
    </row>
    <row r="107" spans="1:6" ht="25.5">
      <c r="A107" s="136" t="s">
        <v>365</v>
      </c>
      <c r="B107" s="767"/>
      <c r="C107" s="134">
        <v>4000</v>
      </c>
      <c r="D107" s="264">
        <v>4160</v>
      </c>
      <c r="E107" s="131">
        <f t="shared" si="1"/>
        <v>4326.400000000001</v>
      </c>
      <c r="F107" s="131">
        <f t="shared" si="1"/>
        <v>4499.456000000001</v>
      </c>
    </row>
    <row r="108" spans="1:6" ht="12.75">
      <c r="A108" s="142" t="s">
        <v>295</v>
      </c>
      <c r="B108" s="767"/>
      <c r="C108" s="143">
        <v>642041</v>
      </c>
      <c r="D108" s="265">
        <f>438480-207180</f>
        <v>231300</v>
      </c>
      <c r="E108" s="144">
        <v>460404</v>
      </c>
      <c r="F108" s="144">
        <v>460404</v>
      </c>
    </row>
    <row r="109" spans="1:6" ht="12.75">
      <c r="A109" s="142" t="s">
        <v>441</v>
      </c>
      <c r="B109" s="767"/>
      <c r="C109" s="143"/>
      <c r="D109" s="265">
        <v>372305</v>
      </c>
      <c r="E109" s="144"/>
      <c r="F109" s="144"/>
    </row>
    <row r="110" spans="1:6" ht="12.75">
      <c r="A110" s="136" t="s">
        <v>296</v>
      </c>
      <c r="B110" s="767"/>
      <c r="C110" s="134">
        <f>710892-81218-1068-2880-1070.25-19200-1400</f>
        <v>604055.75</v>
      </c>
      <c r="D110" s="264">
        <v>300545</v>
      </c>
      <c r="E110" s="131">
        <f>D110*1.04</f>
        <v>312566.8</v>
      </c>
      <c r="F110" s="131">
        <f>E110*1.04</f>
        <v>325069.472</v>
      </c>
    </row>
    <row r="111" spans="1:6" ht="12.75">
      <c r="A111" s="136" t="s">
        <v>364</v>
      </c>
      <c r="B111" s="767"/>
      <c r="C111" s="134">
        <f>91008-41000</f>
        <v>50008</v>
      </c>
      <c r="D111" s="264">
        <v>678650</v>
      </c>
      <c r="E111" s="131">
        <f aca="true" t="shared" si="2" ref="E111:F114">D111*1.04</f>
        <v>705796</v>
      </c>
      <c r="F111" s="131">
        <f t="shared" si="2"/>
        <v>734027.84</v>
      </c>
    </row>
    <row r="112" spans="1:6" ht="12.75">
      <c r="A112" s="136" t="s">
        <v>297</v>
      </c>
      <c r="B112" s="767"/>
      <c r="C112" s="134">
        <v>0</v>
      </c>
      <c r="D112" s="264"/>
      <c r="E112" s="131">
        <f t="shared" si="2"/>
        <v>0</v>
      </c>
      <c r="F112" s="131">
        <f t="shared" si="2"/>
        <v>0</v>
      </c>
    </row>
    <row r="113" spans="1:6" ht="12.75">
      <c r="A113" s="140" t="s">
        <v>343</v>
      </c>
      <c r="B113" s="767"/>
      <c r="C113" s="134">
        <f>10715.69-10715</f>
        <v>0.6900000000005093</v>
      </c>
      <c r="D113" s="264"/>
      <c r="E113" s="131">
        <f t="shared" si="2"/>
        <v>0</v>
      </c>
      <c r="F113" s="131">
        <f t="shared" si="2"/>
        <v>0</v>
      </c>
    </row>
    <row r="114" spans="1:6" ht="12.75">
      <c r="A114" s="136" t="s">
        <v>298</v>
      </c>
      <c r="B114" s="767"/>
      <c r="C114" s="134">
        <v>6500</v>
      </c>
      <c r="D114" s="264">
        <f>14600-9352.36</f>
        <v>5247.639999999999</v>
      </c>
      <c r="E114" s="131">
        <f t="shared" si="2"/>
        <v>5457.5455999999995</v>
      </c>
      <c r="F114" s="131">
        <f t="shared" si="2"/>
        <v>5675.847424</v>
      </c>
    </row>
    <row r="115" spans="1:6" ht="12.75">
      <c r="A115" s="136" t="s">
        <v>376</v>
      </c>
      <c r="B115" s="767"/>
      <c r="C115" s="134">
        <f>111760-16700</f>
        <v>95060</v>
      </c>
      <c r="D115" s="266">
        <f>302038.89-2414</f>
        <v>299624.89</v>
      </c>
      <c r="E115" s="267">
        <v>370000</v>
      </c>
      <c r="F115" s="267">
        <f>E115*1.04</f>
        <v>384800</v>
      </c>
    </row>
    <row r="116" spans="1:6" ht="12.75">
      <c r="A116" s="136" t="s">
        <v>370</v>
      </c>
      <c r="B116" s="767"/>
      <c r="C116" s="134">
        <v>11000</v>
      </c>
      <c r="D116" s="264">
        <v>18000</v>
      </c>
      <c r="E116" s="131">
        <f>D116*1.04</f>
        <v>18720</v>
      </c>
      <c r="F116" s="131">
        <f>E116*1.04</f>
        <v>19468.8</v>
      </c>
    </row>
    <row r="117" spans="1:6" ht="12.75">
      <c r="A117" s="136" t="s">
        <v>379</v>
      </c>
      <c r="B117" s="767"/>
      <c r="C117" s="134">
        <v>1800</v>
      </c>
      <c r="D117" s="264">
        <f>C117*1.04</f>
        <v>1872</v>
      </c>
      <c r="E117" s="131">
        <f>D117*1.04</f>
        <v>1946.88</v>
      </c>
      <c r="F117" s="131">
        <f>E117*1.04</f>
        <v>2024.7552000000003</v>
      </c>
    </row>
    <row r="118" spans="1:6" ht="12.75">
      <c r="A118" s="136" t="s">
        <v>381</v>
      </c>
      <c r="B118" s="767"/>
      <c r="C118" s="134">
        <v>10000</v>
      </c>
      <c r="D118" s="264">
        <v>24000</v>
      </c>
      <c r="E118" s="131">
        <f>D118*1.04</f>
        <v>24960</v>
      </c>
      <c r="F118" s="131">
        <f>E118*1.04</f>
        <v>25958.4</v>
      </c>
    </row>
    <row r="119" spans="1:6" ht="12.75">
      <c r="A119" s="136" t="s">
        <v>382</v>
      </c>
      <c r="B119" s="768"/>
      <c r="C119" s="134">
        <v>10000</v>
      </c>
      <c r="D119" s="264"/>
      <c r="E119" s="131">
        <f>D119*1.04</f>
        <v>0</v>
      </c>
      <c r="F119" s="131">
        <f>E119*1.04</f>
        <v>0</v>
      </c>
    </row>
    <row r="120" spans="1:6" s="171" customFormat="1" ht="12.75">
      <c r="A120" s="176" t="s">
        <v>371</v>
      </c>
      <c r="B120" s="762">
        <v>227</v>
      </c>
      <c r="C120" s="170">
        <f>SUM(C121:C123)</f>
        <v>18303.12</v>
      </c>
      <c r="D120" s="170">
        <f>SUM(D121:D123)</f>
        <v>17232.8</v>
      </c>
      <c r="E120" s="170">
        <f>SUM(E121:E123)</f>
        <v>28483.71</v>
      </c>
      <c r="F120" s="170">
        <f>SUM(F121:F123)</f>
        <v>18638.99</v>
      </c>
    </row>
    <row r="121" spans="1:6" ht="12.75">
      <c r="A121" s="93" t="s">
        <v>346</v>
      </c>
      <c r="B121" s="763"/>
      <c r="C121" s="131">
        <v>10000</v>
      </c>
      <c r="D121" s="264">
        <v>10400</v>
      </c>
      <c r="E121" s="131">
        <v>15000</v>
      </c>
      <c r="F121" s="65">
        <v>11248.64</v>
      </c>
    </row>
    <row r="122" spans="1:6" ht="12.75">
      <c r="A122" s="93" t="s">
        <v>372</v>
      </c>
      <c r="B122" s="763"/>
      <c r="C122" s="131">
        <v>1050</v>
      </c>
      <c r="D122" s="264">
        <v>1560</v>
      </c>
      <c r="E122" s="131">
        <v>8000</v>
      </c>
      <c r="F122" s="65">
        <v>1687.29</v>
      </c>
    </row>
    <row r="123" spans="1:6" ht="12.75">
      <c r="A123" s="93" t="s">
        <v>368</v>
      </c>
      <c r="B123" s="764"/>
      <c r="C123" s="131">
        <f>5070+2183.12</f>
        <v>7253.12</v>
      </c>
      <c r="D123" s="264">
        <v>5272.8</v>
      </c>
      <c r="E123" s="131">
        <v>5483.71</v>
      </c>
      <c r="F123" s="65">
        <v>5703.06</v>
      </c>
    </row>
    <row r="124" spans="1:6" ht="12.75">
      <c r="A124" s="96" t="s">
        <v>299</v>
      </c>
      <c r="B124" s="765">
        <v>290</v>
      </c>
      <c r="C124" s="80">
        <f>SUM(C125:C130)</f>
        <v>46950</v>
      </c>
      <c r="D124" s="80">
        <f>SUM(D125:D130)</f>
        <v>47938.8</v>
      </c>
      <c r="E124" s="80">
        <f>SUM(E125:E130)</f>
        <v>47938.8</v>
      </c>
      <c r="F124" s="80">
        <f>SUM(F125:F130)</f>
        <v>47938.8</v>
      </c>
    </row>
    <row r="125" spans="1:6" ht="12.75">
      <c r="A125" s="101" t="s">
        <v>300</v>
      </c>
      <c r="B125" s="765"/>
      <c r="C125" s="131">
        <f>18480-10895</f>
        <v>7585</v>
      </c>
      <c r="D125" s="264">
        <v>19219.2</v>
      </c>
      <c r="E125" s="131">
        <v>19219.2</v>
      </c>
      <c r="F125" s="131">
        <v>19219.2</v>
      </c>
    </row>
    <row r="126" spans="1:6" ht="12.75">
      <c r="A126" s="102" t="s">
        <v>301</v>
      </c>
      <c r="B126" s="765"/>
      <c r="C126" s="131">
        <v>10500</v>
      </c>
      <c r="D126" s="264">
        <v>10920</v>
      </c>
      <c r="E126" s="131">
        <v>10920</v>
      </c>
      <c r="F126" s="131">
        <v>10920</v>
      </c>
    </row>
    <row r="127" spans="1:6" ht="12.75">
      <c r="A127" s="102" t="s">
        <v>302</v>
      </c>
      <c r="B127" s="765"/>
      <c r="C127" s="131">
        <v>0</v>
      </c>
      <c r="D127" s="264"/>
      <c r="E127" s="131"/>
      <c r="F127" s="131"/>
    </row>
    <row r="128" spans="1:6" ht="12.75">
      <c r="A128" s="102" t="s">
        <v>361</v>
      </c>
      <c r="B128" s="765"/>
      <c r="C128" s="131">
        <v>7500</v>
      </c>
      <c r="D128" s="264"/>
      <c r="E128" s="131"/>
      <c r="F128" s="131"/>
    </row>
    <row r="129" spans="1:6" ht="12.75">
      <c r="A129" s="102" t="s">
        <v>373</v>
      </c>
      <c r="B129" s="765"/>
      <c r="C129" s="131">
        <v>4250</v>
      </c>
      <c r="D129" s="264"/>
      <c r="E129" s="131"/>
      <c r="F129" s="131"/>
    </row>
    <row r="130" spans="1:6" ht="12.75">
      <c r="A130" s="102" t="s">
        <v>133</v>
      </c>
      <c r="B130" s="765"/>
      <c r="C130" s="131">
        <v>17115</v>
      </c>
      <c r="D130" s="264">
        <v>17799.6</v>
      </c>
      <c r="E130" s="131">
        <v>17799.6</v>
      </c>
      <c r="F130" s="131">
        <v>17799.6</v>
      </c>
    </row>
    <row r="131" spans="1:6" ht="12.75">
      <c r="A131" s="103" t="s">
        <v>303</v>
      </c>
      <c r="B131" s="765">
        <v>310</v>
      </c>
      <c r="C131" s="80">
        <f>SUM(C132:C154)</f>
        <v>1348817.44</v>
      </c>
      <c r="D131" s="80">
        <f>SUM(D132:D154)</f>
        <v>872786.17</v>
      </c>
      <c r="E131" s="80">
        <f>SUM(E132:E154)-E144</f>
        <v>125958.40000000002</v>
      </c>
      <c r="F131" s="80">
        <f>SUM(F132:F154)-F144</f>
        <v>96996.72999999998</v>
      </c>
    </row>
    <row r="132" spans="1:6" ht="12.75">
      <c r="A132" s="100" t="s">
        <v>304</v>
      </c>
      <c r="B132" s="765"/>
      <c r="C132" s="131">
        <v>0</v>
      </c>
      <c r="D132" s="131"/>
      <c r="E132" s="131"/>
      <c r="F132" s="131"/>
    </row>
    <row r="133" spans="1:6" ht="12.75">
      <c r="A133" s="104" t="s">
        <v>305</v>
      </c>
      <c r="B133" s="765"/>
      <c r="C133" s="131">
        <v>0</v>
      </c>
      <c r="D133" s="131"/>
      <c r="E133" s="131">
        <v>100000</v>
      </c>
      <c r="F133" s="131">
        <v>70000</v>
      </c>
    </row>
    <row r="134" spans="1:6" ht="12.75">
      <c r="A134" s="83" t="s">
        <v>306</v>
      </c>
      <c r="B134" s="765"/>
      <c r="C134" s="131">
        <v>0</v>
      </c>
      <c r="D134" s="131"/>
      <c r="E134" s="131"/>
      <c r="F134" s="131"/>
    </row>
    <row r="135" spans="1:6" ht="12.75">
      <c r="A135" s="104" t="s">
        <v>307</v>
      </c>
      <c r="B135" s="765"/>
      <c r="C135" s="131">
        <v>0</v>
      </c>
      <c r="D135" s="131"/>
      <c r="E135" s="131"/>
      <c r="F135" s="131"/>
    </row>
    <row r="136" spans="1:6" ht="12.75">
      <c r="A136" s="83" t="s">
        <v>308</v>
      </c>
      <c r="B136" s="765"/>
      <c r="C136" s="131">
        <v>0</v>
      </c>
      <c r="D136" s="131"/>
      <c r="E136" s="131"/>
      <c r="F136" s="131"/>
    </row>
    <row r="137" spans="1:6" ht="12.75">
      <c r="A137" s="83" t="s">
        <v>309</v>
      </c>
      <c r="B137" s="765"/>
      <c r="C137" s="131">
        <v>0</v>
      </c>
      <c r="D137" s="131"/>
      <c r="E137" s="131"/>
      <c r="F137" s="131"/>
    </row>
    <row r="138" spans="1:6" ht="12.75">
      <c r="A138" s="83" t="s">
        <v>310</v>
      </c>
      <c r="B138" s="765"/>
      <c r="C138" s="131">
        <v>0</v>
      </c>
      <c r="D138" s="131"/>
      <c r="E138" s="131"/>
      <c r="F138" s="131"/>
    </row>
    <row r="139" spans="1:6" ht="25.5">
      <c r="A139" s="93" t="s">
        <v>311</v>
      </c>
      <c r="B139" s="765"/>
      <c r="C139" s="131"/>
      <c r="D139" s="131"/>
      <c r="E139" s="131"/>
      <c r="F139" s="131"/>
    </row>
    <row r="140" spans="1:6" ht="12.75">
      <c r="A140" s="93" t="s">
        <v>312</v>
      </c>
      <c r="B140" s="765"/>
      <c r="C140" s="131"/>
      <c r="D140" s="131"/>
      <c r="E140" s="131"/>
      <c r="F140" s="131"/>
    </row>
    <row r="141" spans="1:6" ht="12.75">
      <c r="A141" s="93" t="s">
        <v>313</v>
      </c>
      <c r="B141" s="765"/>
      <c r="C141" s="131"/>
      <c r="D141" s="131"/>
      <c r="E141" s="131"/>
      <c r="F141" s="131"/>
    </row>
    <row r="142" spans="1:6" ht="12.75">
      <c r="A142" s="93" t="s">
        <v>314</v>
      </c>
      <c r="B142" s="765"/>
      <c r="C142" s="131"/>
      <c r="D142" s="131"/>
      <c r="E142" s="131"/>
      <c r="F142" s="131"/>
    </row>
    <row r="143" spans="1:6" ht="12.75">
      <c r="A143" s="93" t="s">
        <v>315</v>
      </c>
      <c r="B143" s="765"/>
      <c r="C143" s="131"/>
      <c r="D143" s="131"/>
      <c r="E143" s="131"/>
      <c r="F143" s="131"/>
    </row>
    <row r="144" spans="1:6" ht="12.75">
      <c r="A144" s="165" t="s">
        <v>167</v>
      </c>
      <c r="B144" s="765"/>
      <c r="C144" s="144">
        <f>479735.77+421473.67</f>
        <v>901209.44</v>
      </c>
      <c r="D144" s="144">
        <f>750000-3950</f>
        <v>746050</v>
      </c>
      <c r="E144" s="144">
        <v>750000</v>
      </c>
      <c r="F144" s="144">
        <v>750000</v>
      </c>
    </row>
    <row r="145" spans="1:6" ht="12.75">
      <c r="A145" s="174" t="s">
        <v>387</v>
      </c>
      <c r="B145" s="765"/>
      <c r="C145" s="144">
        <v>21728</v>
      </c>
      <c r="D145" s="265">
        <v>80.17</v>
      </c>
      <c r="E145" s="131"/>
      <c r="F145" s="131"/>
    </row>
    <row r="146" spans="1:6" ht="12.75">
      <c r="A146" s="174" t="s">
        <v>377</v>
      </c>
      <c r="B146" s="765"/>
      <c r="C146" s="144">
        <v>320900</v>
      </c>
      <c r="D146" s="264"/>
      <c r="E146" s="131"/>
      <c r="F146" s="131"/>
    </row>
    <row r="147" spans="1:6" ht="12.75">
      <c r="A147" s="132" t="s">
        <v>316</v>
      </c>
      <c r="B147" s="765"/>
      <c r="C147" s="131">
        <v>0</v>
      </c>
      <c r="D147" s="264">
        <f>37200+16000</f>
        <v>53200</v>
      </c>
      <c r="E147" s="131"/>
      <c r="F147" s="131"/>
    </row>
    <row r="148" spans="1:6" ht="12.75">
      <c r="A148" s="132" t="s">
        <v>317</v>
      </c>
      <c r="B148" s="765"/>
      <c r="C148" s="131">
        <v>0</v>
      </c>
      <c r="D148" s="264"/>
      <c r="E148" s="131"/>
      <c r="F148" s="131"/>
    </row>
    <row r="149" spans="1:6" ht="12.75">
      <c r="A149" s="125" t="s">
        <v>344</v>
      </c>
      <c r="B149" s="765"/>
      <c r="C149" s="131">
        <v>0</v>
      </c>
      <c r="D149" s="264"/>
      <c r="E149" s="131"/>
      <c r="F149" s="131"/>
    </row>
    <row r="150" spans="1:6" ht="12.75">
      <c r="A150" s="136" t="s">
        <v>378</v>
      </c>
      <c r="B150" s="765"/>
      <c r="C150" s="131">
        <v>76650</v>
      </c>
      <c r="D150" s="264"/>
      <c r="E150" s="131"/>
      <c r="F150" s="131"/>
    </row>
    <row r="151" spans="1:6" ht="12.75">
      <c r="A151" s="136" t="s">
        <v>164</v>
      </c>
      <c r="B151" s="765"/>
      <c r="C151" s="131">
        <f>24000-8240</f>
        <v>15760</v>
      </c>
      <c r="D151" s="264">
        <v>10000</v>
      </c>
      <c r="E151" s="131">
        <v>25958.4</v>
      </c>
      <c r="F151" s="131">
        <v>26996.73</v>
      </c>
    </row>
    <row r="152" spans="1:6" ht="12.75">
      <c r="A152" s="83" t="s">
        <v>440</v>
      </c>
      <c r="B152" s="765"/>
      <c r="C152" s="131">
        <v>2570</v>
      </c>
      <c r="D152" s="264">
        <v>63456</v>
      </c>
      <c r="E152" s="131"/>
      <c r="F152" s="131"/>
    </row>
    <row r="153" spans="1:6" ht="12.75">
      <c r="A153" s="105" t="s">
        <v>369</v>
      </c>
      <c r="B153" s="77"/>
      <c r="C153" s="131">
        <v>10000</v>
      </c>
      <c r="D153" s="264"/>
      <c r="E153" s="131"/>
      <c r="F153" s="131"/>
    </row>
    <row r="154" spans="1:6" ht="12.75">
      <c r="A154" s="105" t="s">
        <v>318</v>
      </c>
      <c r="B154" s="77"/>
      <c r="C154" s="131">
        <v>0</v>
      </c>
      <c r="D154" s="131"/>
      <c r="E154" s="131"/>
      <c r="F154" s="131"/>
    </row>
    <row r="155" spans="1:6" ht="13.5" customHeight="1">
      <c r="A155" s="145" t="s">
        <v>319</v>
      </c>
      <c r="B155" s="166">
        <v>340</v>
      </c>
      <c r="C155" s="138">
        <f>SUM(C156:C173)</f>
        <v>505404.35</v>
      </c>
      <c r="D155" s="138">
        <f>SUM(D156:D173)</f>
        <v>337320.24</v>
      </c>
      <c r="E155" s="138">
        <f>SUM(E156:E173)</f>
        <v>831409.45</v>
      </c>
      <c r="F155" s="138">
        <f>SUM(F156:F173)</f>
        <v>726963.24</v>
      </c>
    </row>
    <row r="156" spans="1:6" ht="12.75">
      <c r="A156" s="106" t="s">
        <v>212</v>
      </c>
      <c r="B156" s="762">
        <v>343</v>
      </c>
      <c r="C156" s="131">
        <f>161000+59717-1173</f>
        <v>219544</v>
      </c>
      <c r="D156" s="264">
        <f>350000-29000-4814-63456</f>
        <v>252730</v>
      </c>
      <c r="E156" s="131">
        <v>364000</v>
      </c>
      <c r="F156" s="131">
        <f>378560-18808.89</f>
        <v>359751.11</v>
      </c>
    </row>
    <row r="157" spans="1:6" ht="12.75">
      <c r="A157" s="106" t="s">
        <v>324</v>
      </c>
      <c r="B157" s="763"/>
      <c r="C157" s="131">
        <v>36000</v>
      </c>
      <c r="D157" s="264">
        <v>23740</v>
      </c>
      <c r="E157" s="131">
        <v>38937.6</v>
      </c>
      <c r="F157" s="131">
        <v>40495.1</v>
      </c>
    </row>
    <row r="158" spans="1:6" ht="12.75">
      <c r="A158" s="106"/>
      <c r="B158" s="763"/>
      <c r="C158" s="131"/>
      <c r="D158" s="264"/>
      <c r="E158" s="131"/>
      <c r="F158" s="131"/>
    </row>
    <row r="159" spans="1:6" ht="12.75">
      <c r="A159" s="106"/>
      <c r="B159" s="764"/>
      <c r="C159" s="131"/>
      <c r="D159" s="131">
        <v>0</v>
      </c>
      <c r="E159" s="131">
        <v>0</v>
      </c>
      <c r="F159" s="131">
        <v>0</v>
      </c>
    </row>
    <row r="160" spans="1:6" ht="12.75">
      <c r="A160" s="123" t="s">
        <v>323</v>
      </c>
      <c r="B160" s="762">
        <v>344</v>
      </c>
      <c r="C160" s="131">
        <f>15938.65-4239.99-2183.12-3577.54</f>
        <v>5938.000000000001</v>
      </c>
      <c r="D160" s="131"/>
      <c r="E160" s="131">
        <v>150000</v>
      </c>
      <c r="F160" s="131">
        <f>100000+5404</f>
        <v>105404</v>
      </c>
    </row>
    <row r="161" spans="1:6" ht="12.75">
      <c r="A161" s="123" t="s">
        <v>354</v>
      </c>
      <c r="B161" s="763"/>
      <c r="C161" s="131">
        <f>2067.61-2067.61</f>
        <v>0</v>
      </c>
      <c r="D161" s="131"/>
      <c r="E161" s="131"/>
      <c r="F161" s="131"/>
    </row>
    <row r="162" spans="1:6" ht="12.75">
      <c r="A162" s="123"/>
      <c r="B162" s="764"/>
      <c r="C162" s="131"/>
      <c r="D162" s="264"/>
      <c r="E162" s="131"/>
      <c r="F162" s="131"/>
    </row>
    <row r="163" spans="1:6" ht="13.5" customHeight="1">
      <c r="A163" s="146" t="s">
        <v>320</v>
      </c>
      <c r="B163" s="762">
        <v>346</v>
      </c>
      <c r="C163" s="131">
        <v>20812</v>
      </c>
      <c r="D163" s="264">
        <v>10000</v>
      </c>
      <c r="E163" s="131">
        <v>22510.25</v>
      </c>
      <c r="F163" s="131">
        <v>23410.66</v>
      </c>
    </row>
    <row r="164" spans="1:6" ht="25.5">
      <c r="A164" s="146" t="s">
        <v>321</v>
      </c>
      <c r="B164" s="763"/>
      <c r="C164" s="131">
        <v>51000</v>
      </c>
      <c r="D164" s="264">
        <f>10000-164+9352.36</f>
        <v>19188.36</v>
      </c>
      <c r="E164" s="131">
        <v>55161.6</v>
      </c>
      <c r="F164" s="131">
        <f>57368.06-9465.69</f>
        <v>47902.369999999995</v>
      </c>
    </row>
    <row r="165" spans="1:6" ht="12.75">
      <c r="A165" s="146" t="s">
        <v>322</v>
      </c>
      <c r="B165" s="763"/>
      <c r="C165" s="131">
        <v>21749.35</v>
      </c>
      <c r="D165" s="264"/>
      <c r="E165" s="131">
        <v>80000</v>
      </c>
      <c r="F165" s="131">
        <v>70000</v>
      </c>
    </row>
    <row r="166" spans="1:6" ht="12.75">
      <c r="A166" s="146" t="s">
        <v>429</v>
      </c>
      <c r="B166" s="763"/>
      <c r="C166" s="131">
        <v>20000</v>
      </c>
      <c r="D166" s="264">
        <v>4814</v>
      </c>
      <c r="E166" s="131"/>
      <c r="F166" s="131"/>
    </row>
    <row r="167" spans="1:6" ht="12.75">
      <c r="A167" s="167" t="s">
        <v>374</v>
      </c>
      <c r="B167" s="763"/>
      <c r="C167" s="144">
        <v>12070</v>
      </c>
      <c r="D167" s="264"/>
      <c r="E167" s="131"/>
      <c r="F167" s="131"/>
    </row>
    <row r="168" spans="1:6" ht="12.75">
      <c r="A168" s="106" t="s">
        <v>325</v>
      </c>
      <c r="B168" s="763"/>
      <c r="C168" s="131">
        <v>54732</v>
      </c>
      <c r="D168" s="264">
        <v>20000</v>
      </c>
      <c r="E168" s="131">
        <f>D168*1.04+100000</f>
        <v>120800</v>
      </c>
      <c r="F168" s="131">
        <v>80000</v>
      </c>
    </row>
    <row r="169" spans="1:6" ht="12.75">
      <c r="A169" s="106" t="s">
        <v>387</v>
      </c>
      <c r="B169" s="764"/>
      <c r="C169" s="131">
        <v>54732</v>
      </c>
      <c r="D169" s="264">
        <v>319.88</v>
      </c>
      <c r="E169" s="131"/>
      <c r="F169" s="131"/>
    </row>
    <row r="170" spans="1:6" ht="12.75">
      <c r="A170" s="168" t="s">
        <v>359</v>
      </c>
      <c r="B170" s="762">
        <v>349</v>
      </c>
      <c r="C170" s="144">
        <v>7697</v>
      </c>
      <c r="D170" s="265">
        <v>3950</v>
      </c>
      <c r="E170" s="131"/>
      <c r="F170" s="131"/>
    </row>
    <row r="171" spans="1:6" ht="12.75">
      <c r="A171" s="140" t="s">
        <v>362</v>
      </c>
      <c r="B171" s="763"/>
      <c r="C171" s="131">
        <v>1130</v>
      </c>
      <c r="D171" s="264">
        <f>164+2414</f>
        <v>2578</v>
      </c>
      <c r="E171" s="131"/>
      <c r="F171" s="131"/>
    </row>
    <row r="172" spans="1:6" ht="12.75">
      <c r="A172" s="147"/>
      <c r="B172" s="763"/>
      <c r="C172" s="131">
        <v>0</v>
      </c>
      <c r="D172" s="264"/>
      <c r="E172" s="131"/>
      <c r="F172" s="131"/>
    </row>
    <row r="173" spans="1:6" ht="13.5" thickBot="1">
      <c r="A173" s="107"/>
      <c r="B173" s="764"/>
      <c r="C173" s="131">
        <v>0</v>
      </c>
      <c r="D173" s="131"/>
      <c r="E173" s="131"/>
      <c r="F173" s="131"/>
    </row>
    <row r="174" spans="1:6" ht="12.75">
      <c r="A174" s="771" t="s">
        <v>326</v>
      </c>
      <c r="B174" s="788"/>
      <c r="C174" s="131">
        <v>0</v>
      </c>
      <c r="D174" s="131"/>
      <c r="E174" s="131"/>
      <c r="F174" s="131"/>
    </row>
    <row r="175" spans="1:6" ht="13.5" thickBot="1">
      <c r="A175" s="101" t="s">
        <v>327</v>
      </c>
      <c r="B175" s="77"/>
      <c r="C175" s="131">
        <v>0</v>
      </c>
      <c r="D175" s="131"/>
      <c r="E175" s="131"/>
      <c r="F175" s="131"/>
    </row>
    <row r="176" spans="1:6" ht="12.75">
      <c r="A176" s="771" t="s">
        <v>328</v>
      </c>
      <c r="B176" s="772"/>
      <c r="C176" s="131">
        <v>0</v>
      </c>
      <c r="D176" s="131"/>
      <c r="E176" s="131"/>
      <c r="F176" s="131"/>
    </row>
    <row r="177" spans="1:6" s="87" customFormat="1" ht="12.75">
      <c r="A177" s="101" t="s">
        <v>329</v>
      </c>
      <c r="B177" s="765">
        <v>290</v>
      </c>
      <c r="C177" s="131">
        <v>0</v>
      </c>
      <c r="D177" s="131"/>
      <c r="E177" s="131"/>
      <c r="F177" s="131"/>
    </row>
    <row r="178" spans="1:6" ht="12.75">
      <c r="A178" s="101" t="s">
        <v>300</v>
      </c>
      <c r="B178" s="765"/>
      <c r="C178" s="131">
        <v>0</v>
      </c>
      <c r="D178" s="131"/>
      <c r="E178" s="131"/>
      <c r="F178" s="131"/>
    </row>
    <row r="179" spans="1:6" ht="13.5" thickBot="1">
      <c r="A179" s="102" t="s">
        <v>330</v>
      </c>
      <c r="B179" s="762"/>
      <c r="C179" s="148"/>
      <c r="D179" s="131"/>
      <c r="E179" s="131"/>
      <c r="F179" s="131"/>
    </row>
    <row r="180" spans="1:9" ht="13.5" thickBot="1">
      <c r="A180" s="786" t="s">
        <v>331</v>
      </c>
      <c r="B180" s="787"/>
      <c r="C180" s="108">
        <f>C17+C21+C22+C27+C37+C47+C85+C120+C124+C131+C155+C35+C43</f>
        <v>19641816.280000005</v>
      </c>
      <c r="D180" s="108">
        <f>D17+D20+D22+D21+D27+D37+D47+D85+D120+D124+D131++D155</f>
        <v>20332754.150000002</v>
      </c>
      <c r="E180" s="108">
        <f>E22+E27+E37+E47+E85+E120+E124+E131+E155+E17+E21+E144</f>
        <v>20321051.254</v>
      </c>
      <c r="F180" s="108">
        <f>F22+F27+F37+F47+F85+F120+F124+F131+F155+F17+F21+F144</f>
        <v>20359995.884704</v>
      </c>
      <c r="I180" s="186"/>
    </row>
    <row r="181" spans="2:9" ht="12.75">
      <c r="B181" s="65">
        <v>611</v>
      </c>
      <c r="D181" s="180">
        <f>D180-D108-D20-D109</f>
        <v>19612149.150000002</v>
      </c>
      <c r="E181" s="180">
        <f>E180-E108</f>
        <v>19860647.254</v>
      </c>
      <c r="F181" s="180">
        <f>F180-F108</f>
        <v>19899591.884704</v>
      </c>
      <c r="H181" s="65">
        <v>20090780.14</v>
      </c>
      <c r="I181" s="263">
        <f>H181-F181</f>
        <v>191188.25529599935</v>
      </c>
    </row>
    <row r="182" spans="2:6" s="70" customFormat="1" ht="15.75">
      <c r="B182" s="177" t="s">
        <v>432</v>
      </c>
      <c r="C182" s="127"/>
      <c r="D182" s="150">
        <f>D181-D145-D144-D21-D17-D170</f>
        <v>4099438.9800000004</v>
      </c>
      <c r="E182" s="150">
        <f>E181-E144-E21-E17</f>
        <v>4348017.254000001</v>
      </c>
      <c r="F182" s="150">
        <f>F181-F144-F21-F17</f>
        <v>4386961.884704001</v>
      </c>
    </row>
    <row r="183" spans="2:6" s="109" customFormat="1" ht="12.75" customHeight="1">
      <c r="B183" s="110"/>
      <c r="C183" s="151"/>
      <c r="D183" s="151"/>
      <c r="E183" s="151"/>
      <c r="F183" s="151"/>
    </row>
    <row r="184" spans="2:6" s="71" customFormat="1" ht="6.75" customHeight="1">
      <c r="B184" s="72"/>
      <c r="C184" s="125"/>
      <c r="D184" s="125"/>
      <c r="E184" s="125"/>
      <c r="F184" s="125"/>
    </row>
    <row r="185" spans="2:6" s="68" customFormat="1" ht="15.75">
      <c r="B185" s="149"/>
      <c r="C185" s="127"/>
      <c r="D185" s="127"/>
      <c r="E185" s="127"/>
      <c r="F185" s="127"/>
    </row>
    <row r="186" spans="2:6" s="109" customFormat="1" ht="12.75" customHeight="1">
      <c r="B186" s="110"/>
      <c r="C186" s="151"/>
      <c r="D186" s="151"/>
      <c r="E186" s="151"/>
      <c r="F186" s="151"/>
    </row>
    <row r="187" spans="3:6" s="71" customFormat="1" ht="12.75" customHeight="1">
      <c r="C187" s="125"/>
      <c r="D187" s="125"/>
      <c r="E187" s="125"/>
      <c r="F187" s="125"/>
    </row>
    <row r="188" spans="3:6" s="71" customFormat="1" ht="12.75">
      <c r="C188" s="125"/>
      <c r="D188" s="125"/>
      <c r="E188" s="125"/>
      <c r="F188" s="125"/>
    </row>
    <row r="190" spans="2:6" ht="12.75">
      <c r="B190" s="65" t="s">
        <v>431</v>
      </c>
      <c r="E190" s="125">
        <v>20213589.0268</v>
      </c>
      <c r="F190" s="125">
        <v>20090780.144</v>
      </c>
    </row>
    <row r="191" spans="2:6" ht="12.75">
      <c r="B191" s="65" t="s">
        <v>434</v>
      </c>
      <c r="E191" s="125">
        <v>4700959.026799999</v>
      </c>
      <c r="F191" s="125">
        <v>4578150.144000001</v>
      </c>
    </row>
  </sheetData>
  <sheetProtection/>
  <mergeCells count="29">
    <mergeCell ref="A11:A13"/>
    <mergeCell ref="A3:B3"/>
    <mergeCell ref="A5:B5"/>
    <mergeCell ref="A6:B6"/>
    <mergeCell ref="A180:B180"/>
    <mergeCell ref="B160:B162"/>
    <mergeCell ref="B163:B169"/>
    <mergeCell ref="B170:B173"/>
    <mergeCell ref="A174:B174"/>
    <mergeCell ref="D8:D9"/>
    <mergeCell ref="E8:E9"/>
    <mergeCell ref="A176:B176"/>
    <mergeCell ref="B177:B179"/>
    <mergeCell ref="B11:B13"/>
    <mergeCell ref="A2:B2"/>
    <mergeCell ref="B18:B20"/>
    <mergeCell ref="B27:B34"/>
    <mergeCell ref="B35:B36"/>
    <mergeCell ref="B37:B42"/>
    <mergeCell ref="F8:F9"/>
    <mergeCell ref="B120:B123"/>
    <mergeCell ref="B156:B159"/>
    <mergeCell ref="B131:B152"/>
    <mergeCell ref="B85:B119"/>
    <mergeCell ref="B124:B130"/>
    <mergeCell ref="B47:B84"/>
    <mergeCell ref="A15:B15"/>
    <mergeCell ref="B43:B46"/>
    <mergeCell ref="C8:C9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6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Наташа</cp:lastModifiedBy>
  <cp:lastPrinted>2020-09-04T12:18:37Z</cp:lastPrinted>
  <dcterms:created xsi:type="dcterms:W3CDTF">2004-09-19T06:34:55Z</dcterms:created>
  <dcterms:modified xsi:type="dcterms:W3CDTF">2020-09-04T12:39:43Z</dcterms:modified>
  <cp:category/>
  <cp:version/>
  <cp:contentType/>
  <cp:contentStatus/>
</cp:coreProperties>
</file>